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Q:\5.30 Project Management\Projects\200\201297000\15 Synthesebericht FAH AG\15-300_Bewertungstool\"/>
    </mc:Choice>
  </mc:AlternateContent>
  <xr:revisionPtr revIDLastSave="0" documentId="13_ncr:1_{18165949-277C-4571-96DF-2D92655A0ED8}" xr6:coauthVersionLast="47" xr6:coauthVersionMax="47" xr10:uidLastSave="{00000000-0000-0000-0000-000000000000}"/>
  <bookViews>
    <workbookView xWindow="-120" yWindow="-120" windowWidth="29040" windowHeight="15840" tabRatio="704" xr2:uid="{00000000-000D-0000-FFFF-FFFF00000000}"/>
  </bookViews>
  <sheets>
    <sheet name="(0) Impressum, Übersicht" sheetId="9" r:id="rId1"/>
    <sheet name="(1) Grundlagen" sheetId="10" r:id="rId2"/>
    <sheet name="(2) Vorauswahl Bautypen" sheetId="7" r:id="rId3"/>
    <sheet name="(3) Variantenbewertung" sheetId="12" r:id="rId4"/>
    <sheet name="(3a) Funktionskriterien" sheetId="1" r:id="rId5"/>
    <sheet name="(3b) Umfeldkriterien" sheetId="6" r:id="rId6"/>
    <sheet name="(4) Kosten-Nutzen-Analyse" sheetId="8" r:id="rId7"/>
  </sheets>
  <definedNames>
    <definedName name="_xlnm.Print_Area" localSheetId="1">'(1) Grundlagen'!#REF!</definedName>
    <definedName name="_xlnm.Print_Area" localSheetId="2">'(2) Vorauswahl Bautypen'!#REF!</definedName>
    <definedName name="_xlnm.Print_Area" localSheetId="3">'(3) Variantenbewertung'!$AB$1:$AE$16</definedName>
    <definedName name="_xlnm.Print_Area" localSheetId="4">'(3a) Funktionskriterien'!$AH$1:$AL$110</definedName>
    <definedName name="_xlnm.Print_Area" localSheetId="5">'(3b) Umfeldkriterien'!#REF!</definedName>
  </definedNames>
  <calcPr calcId="191029"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1" i="1" l="1"/>
  <c r="L26" i="12"/>
  <c r="M215" i="1" s="1"/>
  <c r="E75" i="7"/>
  <c r="E73" i="7"/>
  <c r="E63" i="7"/>
  <c r="E65" i="7"/>
  <c r="E43" i="7"/>
  <c r="E55" i="7"/>
  <c r="E53" i="7"/>
  <c r="E45" i="7"/>
  <c r="E32" i="6"/>
  <c r="J35" i="6" s="1"/>
  <c r="AX242" i="1"/>
  <c r="K56" i="7"/>
  <c r="V248" i="6"/>
  <c r="S248" i="6"/>
  <c r="P248" i="6"/>
  <c r="M248" i="6"/>
  <c r="J248" i="6"/>
  <c r="J237" i="6"/>
  <c r="M237" i="6"/>
  <c r="P237" i="6"/>
  <c r="S237" i="6"/>
  <c r="V237" i="6"/>
  <c r="E247" i="6"/>
  <c r="E246" i="6"/>
  <c r="E245" i="6"/>
  <c r="E236" i="6"/>
  <c r="E235" i="6"/>
  <c r="E234" i="6"/>
  <c r="E134" i="6"/>
  <c r="E133" i="6"/>
  <c r="E132" i="6"/>
  <c r="P135" i="6" s="1"/>
  <c r="E143" i="6"/>
  <c r="E87" i="6"/>
  <c r="E111" i="6"/>
  <c r="E112" i="6"/>
  <c r="Q194" i="1"/>
  <c r="R206" i="1" s="1"/>
  <c r="AX223" i="1"/>
  <c r="T220" i="1" s="1"/>
  <c r="AX222" i="1"/>
  <c r="AX221" i="1"/>
  <c r="T214" i="1" s="1"/>
  <c r="Q205" i="1"/>
  <c r="Q204" i="1"/>
  <c r="Q203" i="1"/>
  <c r="Q202" i="1"/>
  <c r="Q201" i="1"/>
  <c r="Q200" i="1"/>
  <c r="Q199" i="1"/>
  <c r="Q198" i="1"/>
  <c r="Q197" i="1"/>
  <c r="Q196" i="1"/>
  <c r="Q195" i="1"/>
  <c r="R209" i="1"/>
  <c r="R208" i="1"/>
  <c r="F214" i="1"/>
  <c r="F215" i="1"/>
  <c r="F216" i="1"/>
  <c r="F217" i="1"/>
  <c r="F222" i="1"/>
  <c r="F221" i="1"/>
  <c r="F220" i="1"/>
  <c r="F219" i="1"/>
  <c r="F218" i="1"/>
  <c r="AX217" i="1"/>
  <c r="AX216" i="1"/>
  <c r="AX215" i="1"/>
  <c r="AA213" i="1"/>
  <c r="W213" i="1"/>
  <c r="S213" i="1"/>
  <c r="O213" i="1"/>
  <c r="K213" i="1"/>
  <c r="Z211" i="1"/>
  <c r="V211" i="1"/>
  <c r="R211" i="1"/>
  <c r="N211" i="1"/>
  <c r="J211" i="1"/>
  <c r="M216" i="1" l="1"/>
  <c r="M217" i="1"/>
  <c r="L27" i="12"/>
  <c r="M218" i="1"/>
  <c r="M219" i="1"/>
  <c r="M214" i="1"/>
  <c r="N223" i="1" s="1"/>
  <c r="M220" i="1"/>
  <c r="P217" i="1"/>
  <c r="M221" i="1"/>
  <c r="M222" i="1"/>
  <c r="P220" i="1"/>
  <c r="S135" i="6"/>
  <c r="P214" i="1"/>
  <c r="T217" i="1"/>
  <c r="V135" i="6"/>
  <c r="J135" i="6"/>
  <c r="M135" i="6"/>
  <c r="J173" i="1" l="1"/>
  <c r="J80" i="1"/>
  <c r="R165" i="1"/>
  <c r="R164" i="1"/>
  <c r="N164" i="1"/>
  <c r="AA155" i="1"/>
  <c r="W155" i="1"/>
  <c r="S155" i="1"/>
  <c r="O155" i="1"/>
  <c r="K155" i="1"/>
  <c r="Z153" i="1"/>
  <c r="V153" i="1"/>
  <c r="R153" i="1"/>
  <c r="N153" i="1"/>
  <c r="J153" i="1"/>
  <c r="N150" i="1"/>
  <c r="R150" i="1"/>
  <c r="R151" i="1"/>
  <c r="O32" i="12" l="1"/>
  <c r="O30" i="12"/>
  <c r="O27" i="12"/>
  <c r="U26" i="12"/>
  <c r="R26" i="12"/>
  <c r="R27" i="12" s="1"/>
  <c r="O26" i="12"/>
  <c r="I26" i="12"/>
  <c r="AB220" i="1" l="1"/>
  <c r="AB217" i="1"/>
  <c r="AB214" i="1"/>
  <c r="U30" i="12"/>
  <c r="Z208" i="1" s="1"/>
  <c r="U27" i="12"/>
  <c r="U32" i="12"/>
  <c r="V150" i="1"/>
  <c r="V164" i="1"/>
  <c r="R30" i="12"/>
  <c r="V208" i="1" s="1"/>
  <c r="U215" i="1"/>
  <c r="U222" i="1"/>
  <c r="U218" i="1"/>
  <c r="U216" i="1"/>
  <c r="U221" i="1"/>
  <c r="U219" i="1"/>
  <c r="U220" i="1"/>
  <c r="U214" i="1"/>
  <c r="V223" i="1" s="1"/>
  <c r="U217" i="1"/>
  <c r="X214" i="1"/>
  <c r="X220" i="1"/>
  <c r="X217" i="1"/>
  <c r="R32" i="12"/>
  <c r="I32" i="12"/>
  <c r="L220" i="1"/>
  <c r="L214" i="1"/>
  <c r="L217" i="1"/>
  <c r="I30" i="12"/>
  <c r="J208" i="1" s="1"/>
  <c r="I27" i="12"/>
  <c r="L30" i="12"/>
  <c r="N208" i="1" s="1"/>
  <c r="L32" i="12"/>
  <c r="Z164" i="1" l="1"/>
  <c r="Z150" i="1"/>
  <c r="J164" i="1"/>
  <c r="J150" i="1"/>
  <c r="Z44" i="1"/>
  <c r="V44" i="1"/>
  <c r="R44" i="1"/>
  <c r="N44" i="1"/>
  <c r="J44" i="1"/>
  <c r="Z34" i="1"/>
  <c r="V34" i="1"/>
  <c r="R34" i="1"/>
  <c r="N34" i="1"/>
  <c r="J34" i="1"/>
  <c r="E14" i="6"/>
  <c r="E13" i="6"/>
  <c r="E12" i="6"/>
  <c r="E11" i="6"/>
  <c r="M56" i="7"/>
  <c r="I56" i="7"/>
  <c r="O23" i="12" l="1"/>
  <c r="K255" i="6"/>
  <c r="K122" i="1"/>
  <c r="E110" i="6" l="1"/>
  <c r="J113" i="6" s="1"/>
  <c r="E243" i="1"/>
  <c r="N289" i="1"/>
  <c r="R289" i="1"/>
  <c r="V289" i="1"/>
  <c r="Z289" i="1"/>
  <c r="Z278" i="1"/>
  <c r="V278" i="1"/>
  <c r="R278" i="1"/>
  <c r="N278" i="1"/>
  <c r="J278" i="1"/>
  <c r="Z173" i="1"/>
  <c r="V173" i="1"/>
  <c r="R173" i="1"/>
  <c r="N173" i="1"/>
  <c r="AA169" i="1"/>
  <c r="W169" i="1"/>
  <c r="S169" i="1"/>
  <c r="O169" i="1"/>
  <c r="K169" i="1"/>
  <c r="Z167" i="1"/>
  <c r="V167" i="1"/>
  <c r="R167" i="1"/>
  <c r="N167" i="1"/>
  <c r="J167" i="1"/>
  <c r="I23" i="12"/>
  <c r="Z66" i="1"/>
  <c r="V66" i="1"/>
  <c r="R66" i="1"/>
  <c r="N66" i="1"/>
  <c r="J66" i="1"/>
  <c r="AA62" i="1"/>
  <c r="W62" i="1"/>
  <c r="S62" i="1"/>
  <c r="O62" i="1"/>
  <c r="K62" i="1"/>
  <c r="Z60" i="1"/>
  <c r="V60" i="1"/>
  <c r="R60" i="1"/>
  <c r="N60" i="1"/>
  <c r="J60" i="1"/>
  <c r="E65" i="1"/>
  <c r="E64" i="1"/>
  <c r="E63" i="1"/>
  <c r="O97" i="7"/>
  <c r="M97" i="7"/>
  <c r="K97" i="7"/>
  <c r="I97" i="7"/>
  <c r="I86" i="7"/>
  <c r="O91" i="7"/>
  <c r="M91" i="7"/>
  <c r="K91" i="7"/>
  <c r="I91" i="7"/>
  <c r="AA144" i="1" l="1"/>
  <c r="W144" i="1"/>
  <c r="S144" i="1"/>
  <c r="O144" i="1"/>
  <c r="K144" i="1"/>
  <c r="Z142" i="1"/>
  <c r="V142" i="1"/>
  <c r="R142" i="1"/>
  <c r="N142" i="1"/>
  <c r="J142" i="1"/>
  <c r="J256" i="1"/>
  <c r="E277" i="1"/>
  <c r="E276" i="1"/>
  <c r="E275" i="1"/>
  <c r="AA274" i="1"/>
  <c r="W274" i="1"/>
  <c r="S274" i="1"/>
  <c r="O274" i="1"/>
  <c r="K274" i="1"/>
  <c r="Z272" i="1"/>
  <c r="V272" i="1"/>
  <c r="R272" i="1"/>
  <c r="N272" i="1"/>
  <c r="J272" i="1"/>
  <c r="E11" i="1"/>
  <c r="F205" i="1" l="1"/>
  <c r="F204" i="1"/>
  <c r="F203" i="1"/>
  <c r="F202" i="1"/>
  <c r="F201" i="1"/>
  <c r="F200" i="1"/>
  <c r="F199" i="1"/>
  <c r="F198" i="1"/>
  <c r="F197" i="1"/>
  <c r="F196" i="1"/>
  <c r="E244" i="1"/>
  <c r="F195" i="1"/>
  <c r="F194" i="1"/>
  <c r="E242" i="1"/>
  <c r="E233" i="1"/>
  <c r="E232" i="1"/>
  <c r="E231" i="1"/>
  <c r="E42" i="1"/>
  <c r="Z247" i="1"/>
  <c r="U28" i="12" l="1"/>
  <c r="G76" i="10"/>
  <c r="G75" i="10"/>
  <c r="G85" i="10"/>
  <c r="G86" i="10"/>
  <c r="G90" i="10"/>
  <c r="E32" i="1"/>
  <c r="E33" i="1"/>
  <c r="J289" i="1"/>
  <c r="I76" i="7"/>
  <c r="O86" i="7"/>
  <c r="O76" i="7"/>
  <c r="O66" i="7"/>
  <c r="O56" i="7"/>
  <c r="O81" i="7"/>
  <c r="O71" i="7"/>
  <c r="O61" i="7"/>
  <c r="O51" i="7"/>
  <c r="O46" i="7"/>
  <c r="M46" i="7"/>
  <c r="O41" i="7"/>
  <c r="U23" i="12"/>
  <c r="R23" i="12"/>
  <c r="L23" i="12"/>
  <c r="Z285" i="1"/>
  <c r="V285" i="1"/>
  <c r="R285" i="1"/>
  <c r="N285" i="1"/>
  <c r="J285" i="1"/>
  <c r="E286" i="1"/>
  <c r="E288" i="1"/>
  <c r="E287" i="1"/>
  <c r="AA285" i="1"/>
  <c r="W285" i="1"/>
  <c r="S285" i="1"/>
  <c r="O285" i="1"/>
  <c r="K285" i="1"/>
  <c r="Z283" i="1"/>
  <c r="V283" i="1"/>
  <c r="R283" i="1"/>
  <c r="N283" i="1"/>
  <c r="J283" i="1"/>
  <c r="V33" i="8"/>
  <c r="S33" i="8"/>
  <c r="P33" i="8"/>
  <c r="M33" i="8"/>
  <c r="J33" i="8"/>
  <c r="V21" i="8"/>
  <c r="S21" i="8"/>
  <c r="P21" i="8"/>
  <c r="M21" i="8"/>
  <c r="J21" i="8"/>
  <c r="V9" i="8"/>
  <c r="S9" i="8"/>
  <c r="P9" i="8"/>
  <c r="M9" i="8"/>
  <c r="J9" i="8"/>
  <c r="V265" i="6"/>
  <c r="S265" i="6"/>
  <c r="P265" i="6"/>
  <c r="M265" i="6"/>
  <c r="J265" i="6"/>
  <c r="V242" i="6"/>
  <c r="S242" i="6"/>
  <c r="P242" i="6"/>
  <c r="M242" i="6"/>
  <c r="J242" i="6"/>
  <c r="V231" i="6"/>
  <c r="S231" i="6"/>
  <c r="P231" i="6"/>
  <c r="M231" i="6"/>
  <c r="J231" i="6"/>
  <c r="V254" i="6"/>
  <c r="S254" i="6"/>
  <c r="P254" i="6"/>
  <c r="M254" i="6"/>
  <c r="J254" i="6"/>
  <c r="V221" i="6"/>
  <c r="S221" i="6"/>
  <c r="P221" i="6"/>
  <c r="M221" i="6"/>
  <c r="J221" i="6"/>
  <c r="V210" i="6"/>
  <c r="S210" i="6"/>
  <c r="P210" i="6"/>
  <c r="M210" i="6"/>
  <c r="J210" i="6"/>
  <c r="V199" i="6"/>
  <c r="S199" i="6"/>
  <c r="P199" i="6"/>
  <c r="M199" i="6"/>
  <c r="J199" i="6"/>
  <c r="V187" i="6"/>
  <c r="S187" i="6"/>
  <c r="P187" i="6"/>
  <c r="M187" i="6"/>
  <c r="J187" i="6"/>
  <c r="V96" i="6"/>
  <c r="S96" i="6"/>
  <c r="P96" i="6"/>
  <c r="M96" i="6"/>
  <c r="J96" i="6"/>
  <c r="V176" i="6"/>
  <c r="S176" i="6"/>
  <c r="P176" i="6"/>
  <c r="M176" i="6"/>
  <c r="J176" i="6"/>
  <c r="V165" i="6"/>
  <c r="S165" i="6"/>
  <c r="P165" i="6"/>
  <c r="M165" i="6"/>
  <c r="J165" i="6"/>
  <c r="V152" i="6"/>
  <c r="S152" i="6"/>
  <c r="P152" i="6"/>
  <c r="M152" i="6"/>
  <c r="J152" i="6"/>
  <c r="V141" i="6"/>
  <c r="S141" i="6"/>
  <c r="P141" i="6"/>
  <c r="M141" i="6"/>
  <c r="J141" i="6"/>
  <c r="V129" i="6"/>
  <c r="S129" i="6"/>
  <c r="P129" i="6"/>
  <c r="M129" i="6"/>
  <c r="J129" i="6"/>
  <c r="V119" i="6"/>
  <c r="S119" i="6"/>
  <c r="P119" i="6"/>
  <c r="M119" i="6"/>
  <c r="J119" i="6"/>
  <c r="V108" i="6"/>
  <c r="S108" i="6"/>
  <c r="P108" i="6"/>
  <c r="M108" i="6"/>
  <c r="J108" i="6"/>
  <c r="V85" i="6"/>
  <c r="S85" i="6"/>
  <c r="P85" i="6"/>
  <c r="M85" i="6"/>
  <c r="J85" i="6"/>
  <c r="V74" i="6"/>
  <c r="S74" i="6"/>
  <c r="P74" i="6"/>
  <c r="M74" i="6"/>
  <c r="J74" i="6"/>
  <c r="V63" i="6"/>
  <c r="S63" i="6"/>
  <c r="P63" i="6"/>
  <c r="M63" i="6"/>
  <c r="J63" i="6"/>
  <c r="V52" i="6"/>
  <c r="S52" i="6"/>
  <c r="P52" i="6"/>
  <c r="M52" i="6"/>
  <c r="J52" i="6"/>
  <c r="V41" i="6"/>
  <c r="S41" i="6"/>
  <c r="P41" i="6"/>
  <c r="M41" i="6"/>
  <c r="J41" i="6"/>
  <c r="V30" i="6"/>
  <c r="S30" i="6"/>
  <c r="P30" i="6"/>
  <c r="M30" i="6"/>
  <c r="J30" i="6"/>
  <c r="V9" i="6"/>
  <c r="S9" i="6"/>
  <c r="P9" i="6"/>
  <c r="M9" i="6"/>
  <c r="J9" i="6"/>
  <c r="Z341" i="1"/>
  <c r="V341" i="1"/>
  <c r="R341" i="1"/>
  <c r="N341" i="1"/>
  <c r="J341" i="1"/>
  <c r="Z329" i="1"/>
  <c r="V329" i="1"/>
  <c r="R329" i="1"/>
  <c r="N329" i="1"/>
  <c r="J329" i="1"/>
  <c r="Z318" i="1"/>
  <c r="V318" i="1"/>
  <c r="R318" i="1"/>
  <c r="N318" i="1"/>
  <c r="J318" i="1"/>
  <c r="Z307" i="1"/>
  <c r="V307" i="1"/>
  <c r="R307" i="1"/>
  <c r="N307" i="1"/>
  <c r="J307" i="1"/>
  <c r="Z295" i="1"/>
  <c r="V295" i="1"/>
  <c r="R295" i="1"/>
  <c r="N295" i="1"/>
  <c r="J295" i="1"/>
  <c r="Z261" i="1"/>
  <c r="V261" i="1"/>
  <c r="R261" i="1"/>
  <c r="N261" i="1"/>
  <c r="J261" i="1"/>
  <c r="Z250" i="1"/>
  <c r="V250" i="1"/>
  <c r="R250" i="1"/>
  <c r="N250" i="1"/>
  <c r="J250" i="1"/>
  <c r="Z239" i="1"/>
  <c r="V239" i="1"/>
  <c r="R239" i="1"/>
  <c r="N239" i="1"/>
  <c r="J239" i="1"/>
  <c r="Z228" i="1"/>
  <c r="V228" i="1"/>
  <c r="R228" i="1"/>
  <c r="N228" i="1"/>
  <c r="J228" i="1"/>
  <c r="Z191" i="1"/>
  <c r="V191" i="1"/>
  <c r="R191" i="1"/>
  <c r="N191" i="1"/>
  <c r="J191" i="1"/>
  <c r="Z179" i="1"/>
  <c r="V179" i="1"/>
  <c r="R179" i="1"/>
  <c r="N179" i="1"/>
  <c r="J179" i="1"/>
  <c r="Z131" i="1"/>
  <c r="V131" i="1"/>
  <c r="R131" i="1"/>
  <c r="N131" i="1"/>
  <c r="J131" i="1"/>
  <c r="Z120" i="1"/>
  <c r="V120" i="1"/>
  <c r="R120" i="1"/>
  <c r="N120" i="1"/>
  <c r="J120" i="1"/>
  <c r="Z109" i="1"/>
  <c r="V109" i="1"/>
  <c r="R109" i="1"/>
  <c r="N109" i="1"/>
  <c r="J109" i="1"/>
  <c r="Z98" i="1"/>
  <c r="V98" i="1"/>
  <c r="R98" i="1"/>
  <c r="N98" i="1"/>
  <c r="J98" i="1"/>
  <c r="Z86" i="1"/>
  <c r="V86" i="1"/>
  <c r="R86" i="1"/>
  <c r="N86" i="1"/>
  <c r="J86" i="1"/>
  <c r="Z71" i="1"/>
  <c r="V71" i="1"/>
  <c r="R71" i="1"/>
  <c r="N71" i="1"/>
  <c r="J71" i="1"/>
  <c r="Z49" i="1"/>
  <c r="V49" i="1"/>
  <c r="R49" i="1"/>
  <c r="N49" i="1"/>
  <c r="J49" i="1"/>
  <c r="Z39" i="1"/>
  <c r="V39" i="1"/>
  <c r="R39" i="1"/>
  <c r="N39" i="1"/>
  <c r="J39" i="1"/>
  <c r="Z29" i="1"/>
  <c r="V29" i="1"/>
  <c r="R29" i="1"/>
  <c r="N29" i="1"/>
  <c r="J29" i="1"/>
  <c r="Z9" i="1"/>
  <c r="V9" i="1"/>
  <c r="R9" i="1"/>
  <c r="J9" i="1"/>
  <c r="N9" i="1"/>
  <c r="U37" i="12"/>
  <c r="U35" i="12" s="1"/>
  <c r="R37" i="12"/>
  <c r="R35" i="12" s="1"/>
  <c r="O37" i="12"/>
  <c r="O35" i="12" s="1"/>
  <c r="L37" i="12"/>
  <c r="L35" i="12" s="1"/>
  <c r="I37" i="12"/>
  <c r="I35" i="12" s="1"/>
  <c r="J209" i="1" s="1"/>
  <c r="Z209" i="1" l="1"/>
  <c r="Z151" i="1"/>
  <c r="Z165" i="1"/>
  <c r="V209" i="1"/>
  <c r="V151" i="1"/>
  <c r="V165" i="1"/>
  <c r="N209" i="1"/>
  <c r="N151" i="1"/>
  <c r="N165" i="1"/>
  <c r="J151" i="1"/>
  <c r="J165" i="1"/>
  <c r="V247" i="1"/>
  <c r="V225" i="1"/>
  <c r="R247" i="1"/>
  <c r="O28" i="12"/>
  <c r="R225" i="1"/>
  <c r="N247" i="1"/>
  <c r="J225" i="1"/>
  <c r="J247" i="1"/>
  <c r="M81" i="7"/>
  <c r="M71" i="7"/>
  <c r="M61" i="7"/>
  <c r="M51" i="7"/>
  <c r="M41" i="7"/>
  <c r="K81" i="7"/>
  <c r="K71" i="7"/>
  <c r="K61" i="7"/>
  <c r="K51" i="7"/>
  <c r="K41" i="7"/>
  <c r="I81" i="7"/>
  <c r="I71" i="7"/>
  <c r="I61" i="7"/>
  <c r="I51" i="7"/>
  <c r="I41" i="7"/>
  <c r="Y202" i="1" l="1"/>
  <c r="Y200" i="1"/>
  <c r="Y199" i="1"/>
  <c r="Y195" i="1"/>
  <c r="Y197" i="1"/>
  <c r="Y194" i="1"/>
  <c r="Z206" i="1" s="1"/>
  <c r="Y205" i="1"/>
  <c r="Y196" i="1"/>
  <c r="Y204" i="1"/>
  <c r="Y201" i="1"/>
  <c r="Y203" i="1"/>
  <c r="Y198" i="1"/>
  <c r="V107" i="1"/>
  <c r="V118" i="1"/>
  <c r="V140" i="1"/>
  <c r="V129" i="1"/>
  <c r="R28" i="12"/>
  <c r="N129" i="1"/>
  <c r="N118" i="1"/>
  <c r="N140" i="1"/>
  <c r="N107" i="1"/>
  <c r="R236" i="1"/>
  <c r="R107" i="1"/>
  <c r="R118" i="1"/>
  <c r="R140" i="1"/>
  <c r="R129" i="1"/>
  <c r="V236" i="1"/>
  <c r="Z129" i="1"/>
  <c r="Z118" i="1"/>
  <c r="Z140" i="1"/>
  <c r="Z107" i="1"/>
  <c r="J236" i="1"/>
  <c r="J226" i="1"/>
  <c r="I222" i="1" s="1"/>
  <c r="J107" i="1"/>
  <c r="J118" i="1"/>
  <c r="J129" i="1"/>
  <c r="J140" i="1"/>
  <c r="I28" i="12"/>
  <c r="L28" i="12"/>
  <c r="R237" i="1"/>
  <c r="R226" i="1"/>
  <c r="Q215" i="1" s="1"/>
  <c r="R248" i="1"/>
  <c r="V237" i="1"/>
  <c r="V226" i="1"/>
  <c r="V248" i="1"/>
  <c r="Z236" i="1"/>
  <c r="Z225" i="1"/>
  <c r="Z237" i="1"/>
  <c r="Z248" i="1"/>
  <c r="Z226" i="1"/>
  <c r="N236" i="1"/>
  <c r="N225" i="1"/>
  <c r="N237" i="1"/>
  <c r="N248" i="1"/>
  <c r="N226" i="1"/>
  <c r="J237" i="1"/>
  <c r="J248" i="1"/>
  <c r="N106" i="1"/>
  <c r="N117" i="1"/>
  <c r="J106" i="1"/>
  <c r="J117" i="1"/>
  <c r="R106" i="1"/>
  <c r="R117" i="1"/>
  <c r="V106" i="1"/>
  <c r="V117" i="1"/>
  <c r="Z106" i="1"/>
  <c r="Z117" i="1"/>
  <c r="Y242" i="1" l="1"/>
  <c r="Z245" i="1" s="1"/>
  <c r="Y244" i="1"/>
  <c r="Y243" i="1"/>
  <c r="I216" i="1"/>
  <c r="I219" i="1"/>
  <c r="I214" i="1"/>
  <c r="J223" i="1" s="1"/>
  <c r="Q216" i="1"/>
  <c r="Q214" i="1"/>
  <c r="R223" i="1" s="1"/>
  <c r="Q221" i="1"/>
  <c r="Q222" i="1"/>
  <c r="Q217" i="1"/>
  <c r="Q218" i="1"/>
  <c r="Q219" i="1"/>
  <c r="Q220" i="1"/>
  <c r="Y222" i="1"/>
  <c r="Y215" i="1"/>
  <c r="Y221" i="1"/>
  <c r="Y220" i="1"/>
  <c r="Y219" i="1"/>
  <c r="Y214" i="1"/>
  <c r="Z223" i="1" s="1"/>
  <c r="Y218" i="1"/>
  <c r="Y217" i="1"/>
  <c r="Y216" i="1"/>
  <c r="I218" i="1"/>
  <c r="I221" i="1"/>
  <c r="I217" i="1"/>
  <c r="I220" i="1"/>
  <c r="I215" i="1"/>
  <c r="Q232" i="1"/>
  <c r="I231" i="1"/>
  <c r="J234" i="1" s="1"/>
  <c r="Q231" i="1"/>
  <c r="R234" i="1" s="1"/>
  <c r="Q233" i="1"/>
  <c r="I232" i="1"/>
  <c r="I233" i="1"/>
  <c r="U233" i="1"/>
  <c r="U232" i="1"/>
  <c r="U231" i="1"/>
  <c r="V234" i="1" s="1"/>
  <c r="M233" i="1"/>
  <c r="M232" i="1"/>
  <c r="Y233" i="1"/>
  <c r="Y231" i="1"/>
  <c r="Z234" i="1" s="1"/>
  <c r="Y232" i="1"/>
  <c r="M231" i="1"/>
  <c r="N234" i="1" s="1"/>
  <c r="J139" i="1"/>
  <c r="J128" i="1"/>
  <c r="N128" i="1"/>
  <c r="N139" i="1"/>
  <c r="R128" i="1"/>
  <c r="R139" i="1"/>
  <c r="Z139" i="1"/>
  <c r="Z128" i="1"/>
  <c r="V139" i="1"/>
  <c r="V128" i="1"/>
  <c r="G131" i="10" l="1"/>
  <c r="G126" i="10"/>
  <c r="G130" i="10"/>
  <c r="G125" i="10"/>
  <c r="G121" i="10"/>
  <c r="G120" i="10"/>
  <c r="G116" i="10"/>
  <c r="G115" i="10"/>
  <c r="G111" i="10"/>
  <c r="G110" i="10"/>
  <c r="G106" i="10"/>
  <c r="G105" i="10"/>
  <c r="G101" i="10"/>
  <c r="G100" i="10"/>
  <c r="G96" i="10"/>
  <c r="G95" i="10"/>
  <c r="G91" i="10"/>
  <c r="J56" i="8"/>
  <c r="V48" i="8"/>
  <c r="S48" i="8"/>
  <c r="P48" i="8"/>
  <c r="M48" i="8"/>
  <c r="J48" i="8"/>
  <c r="L36" i="8" l="1"/>
  <c r="O36" i="8"/>
  <c r="R36" i="8"/>
  <c r="U36" i="8"/>
  <c r="X36" i="8"/>
  <c r="L35" i="8"/>
  <c r="O35" i="8"/>
  <c r="R35" i="8"/>
  <c r="U35" i="8"/>
  <c r="X35" i="8"/>
  <c r="G38" i="8"/>
  <c r="G25" i="8"/>
  <c r="E266" i="1" l="1"/>
  <c r="E264" i="1"/>
  <c r="W255" i="6"/>
  <c r="T255" i="6"/>
  <c r="Q255" i="6"/>
  <c r="N255" i="6"/>
  <c r="W222" i="6"/>
  <c r="T222" i="6"/>
  <c r="Q222" i="6"/>
  <c r="N222" i="6"/>
  <c r="K222" i="6"/>
  <c r="W211" i="6"/>
  <c r="T211" i="6"/>
  <c r="Q211" i="6"/>
  <c r="N211" i="6"/>
  <c r="K211" i="6"/>
  <c r="W177" i="6"/>
  <c r="T177" i="6"/>
  <c r="Q177" i="6"/>
  <c r="N177" i="6"/>
  <c r="K177" i="6"/>
  <c r="N166" i="6"/>
  <c r="K166" i="6"/>
  <c r="W200" i="6"/>
  <c r="T200" i="6"/>
  <c r="Q200" i="6"/>
  <c r="N200" i="6"/>
  <c r="K200" i="6"/>
  <c r="K131" i="6"/>
  <c r="W120" i="6"/>
  <c r="T120" i="6"/>
  <c r="Q120" i="6"/>
  <c r="N120" i="6"/>
  <c r="K120" i="6"/>
  <c r="J124" i="6"/>
  <c r="W131" i="6"/>
  <c r="T131" i="6"/>
  <c r="Q131" i="6"/>
  <c r="N131" i="6"/>
  <c r="W166" i="6"/>
  <c r="T166" i="6"/>
  <c r="Q166" i="6"/>
  <c r="J55" i="1"/>
  <c r="Z80" i="1"/>
  <c r="V80" i="1"/>
  <c r="R80" i="1"/>
  <c r="N80" i="1"/>
  <c r="F78" i="1"/>
  <c r="F79" i="1"/>
  <c r="F77" i="1"/>
  <c r="F75" i="1"/>
  <c r="F76" i="1"/>
  <c r="F74" i="1"/>
  <c r="E145" i="6"/>
  <c r="Q142" i="6"/>
  <c r="E144" i="6"/>
  <c r="T142" i="6" l="1"/>
  <c r="W142" i="6"/>
  <c r="K142" i="6"/>
  <c r="N142" i="6"/>
  <c r="E89" i="6"/>
  <c r="E88" i="6"/>
  <c r="E78" i="6"/>
  <c r="E77" i="6"/>
  <c r="E76" i="6"/>
  <c r="E67" i="6"/>
  <c r="E66" i="6"/>
  <c r="E65" i="6"/>
  <c r="E56" i="6"/>
  <c r="E55" i="6"/>
  <c r="E54" i="6"/>
  <c r="E45" i="6"/>
  <c r="E44" i="6"/>
  <c r="E43" i="6"/>
  <c r="E34" i="6"/>
  <c r="E33" i="6"/>
  <c r="G12" i="8"/>
  <c r="G13" i="8"/>
  <c r="G14" i="8"/>
  <c r="G11" i="8"/>
  <c r="M86" i="7"/>
  <c r="K86" i="7"/>
  <c r="AX243" i="1"/>
  <c r="AX197" i="1"/>
  <c r="AX196" i="1"/>
  <c r="AX195" i="1"/>
  <c r="AX194" i="1"/>
  <c r="G95" i="1"/>
  <c r="E95" i="1"/>
  <c r="E43" i="1"/>
  <c r="U198" i="1" l="1"/>
  <c r="M198" i="1"/>
  <c r="M199" i="1"/>
  <c r="U197" i="1"/>
  <c r="U199" i="1"/>
  <c r="M197" i="1"/>
  <c r="I197" i="1"/>
  <c r="I199" i="1"/>
  <c r="I198" i="1"/>
  <c r="M202" i="1"/>
  <c r="U200" i="1"/>
  <c r="U201" i="1"/>
  <c r="M200" i="1"/>
  <c r="U202" i="1"/>
  <c r="M201" i="1"/>
  <c r="I202" i="1"/>
  <c r="I200" i="1"/>
  <c r="I201" i="1"/>
  <c r="M242" i="1"/>
  <c r="N245" i="1" s="1"/>
  <c r="M244" i="1"/>
  <c r="U243" i="1"/>
  <c r="U244" i="1"/>
  <c r="I242" i="1"/>
  <c r="J245" i="1" s="1"/>
  <c r="I243" i="1"/>
  <c r="U242" i="1"/>
  <c r="V245" i="1" s="1"/>
  <c r="M243" i="1"/>
  <c r="I244" i="1"/>
  <c r="U196" i="1"/>
  <c r="M194" i="1"/>
  <c r="N206" i="1" s="1"/>
  <c r="M195" i="1"/>
  <c r="M196" i="1"/>
  <c r="U195" i="1"/>
  <c r="U194" i="1"/>
  <c r="V206" i="1" s="1"/>
  <c r="I194" i="1"/>
  <c r="J206" i="1" s="1"/>
  <c r="I196" i="1"/>
  <c r="I195" i="1"/>
  <c r="U204" i="1"/>
  <c r="U203" i="1"/>
  <c r="M203" i="1"/>
  <c r="U205" i="1"/>
  <c r="M204" i="1"/>
  <c r="M205" i="1"/>
  <c r="I204" i="1"/>
  <c r="I203" i="1"/>
  <c r="I205" i="1"/>
  <c r="Q244" i="1"/>
  <c r="Q242" i="1"/>
  <c r="R245" i="1" s="1"/>
  <c r="Q243" i="1"/>
  <c r="M158" i="1"/>
  <c r="U161" i="1"/>
  <c r="U157" i="1"/>
  <c r="M156" i="1"/>
  <c r="N162" i="1" s="1"/>
  <c r="U156" i="1"/>
  <c r="V162" i="1" s="1"/>
  <c r="Q161" i="1"/>
  <c r="M157" i="1"/>
  <c r="Y156" i="1"/>
  <c r="Z162" i="1" s="1"/>
  <c r="U159" i="1"/>
  <c r="U160" i="1"/>
  <c r="Q160" i="1"/>
  <c r="U158" i="1"/>
  <c r="Q157" i="1"/>
  <c r="Q158" i="1"/>
  <c r="M159" i="1"/>
  <c r="Q156" i="1"/>
  <c r="R162" i="1" s="1"/>
  <c r="M160" i="1"/>
  <c r="Q159" i="1"/>
  <c r="Y158" i="1"/>
  <c r="Y157" i="1"/>
  <c r="Y159" i="1"/>
  <c r="Y160" i="1"/>
  <c r="Y161" i="1"/>
  <c r="M161" i="1"/>
  <c r="I159" i="1"/>
  <c r="I157" i="1"/>
  <c r="I158" i="1"/>
  <c r="I160" i="1"/>
  <c r="I156" i="1"/>
  <c r="J162" i="1" s="1"/>
  <c r="I161" i="1"/>
  <c r="U114" i="1"/>
  <c r="U102" i="1"/>
  <c r="I102" i="1"/>
  <c r="Y114" i="1"/>
  <c r="I114" i="1"/>
  <c r="M112" i="1"/>
  <c r="U113" i="1"/>
  <c r="M114" i="1"/>
  <c r="Y112" i="1"/>
  <c r="Q102" i="1"/>
  <c r="U103" i="1"/>
  <c r="M113" i="1"/>
  <c r="Y103" i="1"/>
  <c r="Q101" i="1"/>
  <c r="Y102" i="1"/>
  <c r="Q103" i="1"/>
  <c r="I112" i="1"/>
  <c r="M103" i="1"/>
  <c r="Y101" i="1"/>
  <c r="Z115" i="1" s="1"/>
  <c r="I103" i="1"/>
  <c r="Q114" i="1"/>
  <c r="I113" i="1"/>
  <c r="M102" i="1"/>
  <c r="Q112" i="1"/>
  <c r="Y113" i="1"/>
  <c r="Q113" i="1"/>
  <c r="I101" i="1"/>
  <c r="J104" i="1" s="1"/>
  <c r="M101" i="1"/>
  <c r="U112" i="1"/>
  <c r="Q146" i="1"/>
  <c r="Q145" i="1"/>
  <c r="R148" i="1" s="1"/>
  <c r="Y147" i="1"/>
  <c r="Y146" i="1"/>
  <c r="Y145" i="1"/>
  <c r="Z148" i="1" s="1"/>
  <c r="M146" i="1"/>
  <c r="U147" i="1"/>
  <c r="M145" i="1"/>
  <c r="N148" i="1" s="1"/>
  <c r="U146" i="1"/>
  <c r="M147" i="1"/>
  <c r="U145" i="1"/>
  <c r="V148" i="1" s="1"/>
  <c r="Q147" i="1"/>
  <c r="I147" i="1"/>
  <c r="I146" i="1"/>
  <c r="I145" i="1"/>
  <c r="J148" i="1" s="1"/>
  <c r="E145" i="1"/>
  <c r="E146" i="1"/>
  <c r="E147" i="1"/>
  <c r="J88" i="1"/>
  <c r="E112" i="1"/>
  <c r="E114" i="1"/>
  <c r="E113" i="1"/>
  <c r="E103" i="1"/>
  <c r="E102" i="1"/>
  <c r="E101" i="1"/>
  <c r="F95" i="1"/>
  <c r="G16" i="8"/>
  <c r="W64" i="6"/>
  <c r="T64" i="6"/>
  <c r="N64" i="6"/>
  <c r="K64" i="6"/>
  <c r="Q64" i="6"/>
  <c r="W109" i="6"/>
  <c r="T109" i="6"/>
  <c r="Q109" i="6"/>
  <c r="N109" i="6"/>
  <c r="K109" i="6"/>
  <c r="K42" i="6"/>
  <c r="W42" i="6"/>
  <c r="T42" i="6"/>
  <c r="Q42" i="6"/>
  <c r="N42" i="6"/>
  <c r="N86" i="6"/>
  <c r="K86" i="6"/>
  <c r="W86" i="6"/>
  <c r="T86" i="6"/>
  <c r="Q86" i="6"/>
  <c r="T53" i="6"/>
  <c r="Q53" i="6"/>
  <c r="N53" i="6"/>
  <c r="K53" i="6"/>
  <c r="W53" i="6"/>
  <c r="W31" i="6"/>
  <c r="T31" i="6"/>
  <c r="Q31" i="6"/>
  <c r="K31" i="6"/>
  <c r="N31" i="6"/>
  <c r="W75" i="6"/>
  <c r="T75" i="6"/>
  <c r="Q75" i="6"/>
  <c r="N75" i="6"/>
  <c r="K75" i="6"/>
  <c r="Z104" i="1" l="1"/>
  <c r="U136" i="1"/>
  <c r="M134" i="1"/>
  <c r="N137" i="1" s="1"/>
  <c r="Q124" i="1"/>
  <c r="U135" i="1"/>
  <c r="Y125" i="1"/>
  <c r="Q123" i="1"/>
  <c r="R126" i="1" s="1"/>
  <c r="Q136" i="1"/>
  <c r="Y123" i="1"/>
  <c r="Z126" i="1" s="1"/>
  <c r="M124" i="1"/>
  <c r="Y136" i="1"/>
  <c r="Q134" i="1"/>
  <c r="R137" i="1" s="1"/>
  <c r="U124" i="1"/>
  <c r="Y135" i="1"/>
  <c r="M136" i="1"/>
  <c r="U123" i="1"/>
  <c r="V126" i="1" s="1"/>
  <c r="Y134" i="1"/>
  <c r="Z137" i="1" s="1"/>
  <c r="M135" i="1"/>
  <c r="Q125" i="1"/>
  <c r="U134" i="1"/>
  <c r="V137" i="1" s="1"/>
  <c r="Y124" i="1"/>
  <c r="Q135" i="1"/>
  <c r="U125" i="1"/>
  <c r="M123" i="1"/>
  <c r="N126" i="1" s="1"/>
  <c r="M125" i="1"/>
  <c r="I135" i="1"/>
  <c r="I134" i="1"/>
  <c r="J137" i="1" s="1"/>
  <c r="I125" i="1"/>
  <c r="I124" i="1"/>
  <c r="I123" i="1"/>
  <c r="J126" i="1" s="1"/>
  <c r="I136" i="1"/>
  <c r="N115" i="1"/>
  <c r="N104" i="1"/>
  <c r="R115" i="1"/>
  <c r="R104" i="1"/>
  <c r="V115" i="1"/>
  <c r="V104" i="1"/>
  <c r="J115" i="1"/>
  <c r="E134" i="1"/>
  <c r="E123" i="1"/>
  <c r="E136" i="1"/>
  <c r="E135" i="1"/>
  <c r="E124" i="1"/>
  <c r="E125" i="1"/>
  <c r="V146" i="6"/>
  <c r="V113" i="6"/>
  <c r="S90" i="6"/>
  <c r="J79" i="6"/>
  <c r="M64" i="6"/>
  <c r="J181" i="1" l="1"/>
  <c r="Z181" i="1"/>
  <c r="N181" i="1"/>
  <c r="R181" i="1"/>
  <c r="V181" i="1"/>
  <c r="M113" i="6"/>
  <c r="J90" i="6"/>
  <c r="P113" i="6"/>
  <c r="S113" i="6"/>
  <c r="J146" i="6"/>
  <c r="M146" i="6"/>
  <c r="S146" i="6"/>
  <c r="P146" i="6"/>
  <c r="J86" i="6"/>
  <c r="S79" i="6"/>
  <c r="M75" i="6"/>
  <c r="S75" i="6"/>
  <c r="M79" i="6"/>
  <c r="V90" i="6"/>
  <c r="S64" i="6"/>
  <c r="M86" i="6"/>
  <c r="P79" i="6"/>
  <c r="J75" i="6"/>
  <c r="S86" i="6"/>
  <c r="M68" i="6"/>
  <c r="V79" i="6"/>
  <c r="V64" i="6"/>
  <c r="P86" i="6"/>
  <c r="J68" i="6"/>
  <c r="V86" i="6"/>
  <c r="P68" i="6"/>
  <c r="P75" i="6"/>
  <c r="S68" i="6"/>
  <c r="M90" i="6"/>
  <c r="P64" i="6"/>
  <c r="J64" i="6"/>
  <c r="V68" i="6"/>
  <c r="P90" i="6"/>
  <c r="V75" i="6"/>
  <c r="V259" i="6"/>
  <c r="S259" i="6"/>
  <c r="P259" i="6"/>
  <c r="M259" i="6"/>
  <c r="J259" i="6"/>
  <c r="V204" i="6"/>
  <c r="V215" i="6"/>
  <c r="V226" i="6"/>
  <c r="S226" i="6"/>
  <c r="P226" i="6"/>
  <c r="M226" i="6"/>
  <c r="J226" i="6"/>
  <c r="S215" i="6"/>
  <c r="P215" i="6"/>
  <c r="M215" i="6"/>
  <c r="J215" i="6"/>
  <c r="S204" i="6"/>
  <c r="P204" i="6"/>
  <c r="M204" i="6"/>
  <c r="J204" i="6"/>
  <c r="V170" i="6"/>
  <c r="V181" i="6"/>
  <c r="S181" i="6"/>
  <c r="P181" i="6"/>
  <c r="M181" i="6"/>
  <c r="J181" i="6"/>
  <c r="S170" i="6"/>
  <c r="P170" i="6"/>
  <c r="M170" i="6"/>
  <c r="J170" i="6"/>
  <c r="J267" i="6" l="1"/>
  <c r="J188" i="6"/>
  <c r="M267" i="6"/>
  <c r="S188" i="6"/>
  <c r="P188" i="6"/>
  <c r="M188" i="6"/>
  <c r="V188" i="6"/>
  <c r="J154" i="6"/>
  <c r="K154" i="6" s="1"/>
  <c r="P57" i="6"/>
  <c r="M57" i="6"/>
  <c r="S57" i="6"/>
  <c r="J57" i="6"/>
  <c r="V53" i="6"/>
  <c r="S53" i="6"/>
  <c r="M53" i="6"/>
  <c r="P53" i="6"/>
  <c r="V57" i="6"/>
  <c r="J53" i="6"/>
  <c r="P46" i="6"/>
  <c r="J46" i="6"/>
  <c r="S46" i="6"/>
  <c r="M46" i="6"/>
  <c r="V46" i="6"/>
  <c r="M35" i="6"/>
  <c r="P31" i="6"/>
  <c r="S31" i="6"/>
  <c r="M31" i="6"/>
  <c r="J31" i="6"/>
  <c r="V35" i="6"/>
  <c r="S35" i="6"/>
  <c r="V31" i="6"/>
  <c r="P35" i="6"/>
  <c r="V42" i="6"/>
  <c r="S42" i="6"/>
  <c r="P42" i="6"/>
  <c r="M42" i="6"/>
  <c r="J42" i="6"/>
  <c r="M97" i="6" l="1"/>
  <c r="M98" i="6" s="1"/>
  <c r="M11" i="6" s="1"/>
  <c r="M23" i="8" s="1"/>
  <c r="P97" i="6"/>
  <c r="P98" i="6" s="1"/>
  <c r="P11" i="6" s="1"/>
  <c r="S97" i="6"/>
  <c r="J97" i="6"/>
  <c r="J98" i="6" s="1"/>
  <c r="J11" i="6" s="1"/>
  <c r="J23" i="8" s="1"/>
  <c r="V97" i="6"/>
  <c r="V124" i="6"/>
  <c r="V154" i="6" s="1"/>
  <c r="W154" i="6" s="1"/>
  <c r="S124" i="6"/>
  <c r="S154" i="6" s="1"/>
  <c r="T154" i="6" s="1"/>
  <c r="P124" i="6"/>
  <c r="P154" i="6" s="1"/>
  <c r="Q154" i="6" s="1"/>
  <c r="M124" i="6"/>
  <c r="M154" i="6" s="1"/>
  <c r="N154" i="6" s="1"/>
  <c r="E310" i="1"/>
  <c r="Z313" i="1"/>
  <c r="V313" i="1"/>
  <c r="R313" i="1"/>
  <c r="N313" i="1"/>
  <c r="J313" i="1"/>
  <c r="Z335" i="1"/>
  <c r="V335" i="1"/>
  <c r="R335" i="1"/>
  <c r="N335" i="1"/>
  <c r="J335" i="1"/>
  <c r="Z324" i="1"/>
  <c r="V324" i="1"/>
  <c r="R324" i="1"/>
  <c r="N324" i="1"/>
  <c r="J324" i="1"/>
  <c r="E334" i="1"/>
  <c r="E333" i="1"/>
  <c r="E332" i="1"/>
  <c r="AA331" i="1"/>
  <c r="W331" i="1"/>
  <c r="S331" i="1"/>
  <c r="O331" i="1"/>
  <c r="K331" i="1"/>
  <c r="E323" i="1"/>
  <c r="E322" i="1"/>
  <c r="E321" i="1"/>
  <c r="Z267" i="1"/>
  <c r="V267" i="1"/>
  <c r="R267" i="1"/>
  <c r="N267" i="1"/>
  <c r="J267" i="1"/>
  <c r="E253" i="1"/>
  <c r="Z256" i="1"/>
  <c r="V256" i="1"/>
  <c r="R256" i="1"/>
  <c r="N256" i="1"/>
  <c r="E170" i="1"/>
  <c r="V56" i="8"/>
  <c r="S56" i="8"/>
  <c r="S57" i="8" s="1"/>
  <c r="P56" i="8"/>
  <c r="P57" i="8" s="1"/>
  <c r="M56" i="8"/>
  <c r="S98" i="6" l="1"/>
  <c r="S11" i="6" s="1"/>
  <c r="V98" i="6"/>
  <c r="V11" i="6" s="1"/>
  <c r="O320" i="1"/>
  <c r="K320" i="1"/>
  <c r="AA320" i="1"/>
  <c r="W320" i="1"/>
  <c r="S320" i="1"/>
  <c r="Z297" i="1"/>
  <c r="J343" i="1"/>
  <c r="J297" i="1"/>
  <c r="R297" i="1"/>
  <c r="N297" i="1"/>
  <c r="N343" i="1"/>
  <c r="V297" i="1"/>
  <c r="R343" i="1"/>
  <c r="V57" i="8"/>
  <c r="V58" i="8" s="1"/>
  <c r="V59" i="8" s="1"/>
  <c r="S58" i="8"/>
  <c r="S59" i="8" s="1"/>
  <c r="P58" i="8"/>
  <c r="P59" i="8" s="1"/>
  <c r="M57" i="8"/>
  <c r="M58" i="8" s="1"/>
  <c r="M59" i="8" s="1"/>
  <c r="Z343" i="1"/>
  <c r="V343" i="1"/>
  <c r="N155" i="6"/>
  <c r="J57" i="8"/>
  <c r="J58" i="8" s="1"/>
  <c r="J59" i="8" s="1"/>
  <c r="J298" i="1" l="1"/>
  <c r="K155" i="6"/>
  <c r="K12" i="6" s="1"/>
  <c r="G24" i="8"/>
  <c r="G26" i="8"/>
  <c r="G23" i="8"/>
  <c r="E24" i="8"/>
  <c r="E25" i="8"/>
  <c r="E26" i="8"/>
  <c r="E23" i="8"/>
  <c r="E11" i="8"/>
  <c r="W244" i="6"/>
  <c r="T244" i="6"/>
  <c r="Q244" i="6"/>
  <c r="N244" i="6"/>
  <c r="K244" i="6"/>
  <c r="W233" i="6"/>
  <c r="T233" i="6"/>
  <c r="Q233" i="6"/>
  <c r="N233" i="6"/>
  <c r="K233" i="6"/>
  <c r="AA309" i="1"/>
  <c r="W309" i="1"/>
  <c r="S309" i="1"/>
  <c r="O309" i="1"/>
  <c r="K309" i="1"/>
  <c r="K343" i="1" s="1"/>
  <c r="AA263" i="1"/>
  <c r="W263" i="1"/>
  <c r="S263" i="1"/>
  <c r="O263" i="1"/>
  <c r="K263" i="1"/>
  <c r="AA252" i="1"/>
  <c r="W252" i="1"/>
  <c r="S252" i="1"/>
  <c r="O252" i="1"/>
  <c r="K252" i="1"/>
  <c r="AA241" i="1"/>
  <c r="W241" i="1"/>
  <c r="S241" i="1"/>
  <c r="O241" i="1"/>
  <c r="K241" i="1"/>
  <c r="AA230" i="1"/>
  <c r="AA297" i="1" s="1"/>
  <c r="W230" i="1"/>
  <c r="S230" i="1"/>
  <c r="O230" i="1"/>
  <c r="K230" i="1"/>
  <c r="AA193" i="1"/>
  <c r="W193" i="1"/>
  <c r="S193" i="1"/>
  <c r="O193" i="1"/>
  <c r="O297" i="1" s="1"/>
  <c r="K193" i="1"/>
  <c r="AA133" i="1"/>
  <c r="W133" i="1"/>
  <c r="S133" i="1"/>
  <c r="O133" i="1"/>
  <c r="K133" i="1"/>
  <c r="AA122" i="1"/>
  <c r="W122" i="1"/>
  <c r="S122" i="1"/>
  <c r="O122" i="1"/>
  <c r="AA111" i="1"/>
  <c r="W111" i="1"/>
  <c r="S111" i="1"/>
  <c r="O111" i="1"/>
  <c r="K111" i="1"/>
  <c r="AA100" i="1"/>
  <c r="W100" i="1"/>
  <c r="S100" i="1"/>
  <c r="O100" i="1"/>
  <c r="K100" i="1"/>
  <c r="AA73" i="1"/>
  <c r="W73" i="1"/>
  <c r="S73" i="1"/>
  <c r="O73" i="1"/>
  <c r="K73" i="1"/>
  <c r="AA51" i="1"/>
  <c r="W51" i="1"/>
  <c r="S51" i="1"/>
  <c r="O51" i="1"/>
  <c r="K51" i="1"/>
  <c r="AA41" i="1"/>
  <c r="W41" i="1"/>
  <c r="S41" i="1"/>
  <c r="O41" i="1"/>
  <c r="K41" i="1"/>
  <c r="AA31" i="1"/>
  <c r="W31" i="1"/>
  <c r="S31" i="1"/>
  <c r="O31" i="1"/>
  <c r="K31" i="1"/>
  <c r="M76" i="7"/>
  <c r="K76" i="7"/>
  <c r="M66" i="7"/>
  <c r="K66" i="7"/>
  <c r="I66" i="7"/>
  <c r="K46" i="7"/>
  <c r="I46" i="7"/>
  <c r="G16" i="6"/>
  <c r="E172" i="1"/>
  <c r="E171" i="1"/>
  <c r="E265" i="1"/>
  <c r="E255" i="1"/>
  <c r="E254" i="1"/>
  <c r="E312" i="1"/>
  <c r="E311" i="1"/>
  <c r="E54" i="1"/>
  <c r="E53" i="1"/>
  <c r="E52" i="1"/>
  <c r="G16" i="1"/>
  <c r="E14" i="1"/>
  <c r="E14" i="8" s="1"/>
  <c r="E13" i="1"/>
  <c r="E13" i="8" s="1"/>
  <c r="E12" i="1"/>
  <c r="E12" i="8" s="1"/>
  <c r="Z55" i="1"/>
  <c r="Z88" i="1" s="1"/>
  <c r="V55" i="1"/>
  <c r="V88" i="1" s="1"/>
  <c r="R55" i="1"/>
  <c r="R88" i="1" s="1"/>
  <c r="N55" i="1"/>
  <c r="N88" i="1" s="1"/>
  <c r="K297" i="1" l="1"/>
  <c r="S297" i="1"/>
  <c r="W297" i="1"/>
  <c r="K267" i="6"/>
  <c r="S88" i="1"/>
  <c r="W88" i="1"/>
  <c r="K181" i="1"/>
  <c r="O88" i="1"/>
  <c r="W343" i="1"/>
  <c r="S343" i="1"/>
  <c r="AA343" i="1"/>
  <c r="O343" i="1"/>
  <c r="O181" i="1"/>
  <c r="S181" i="1"/>
  <c r="AA181" i="1"/>
  <c r="AA88" i="1"/>
  <c r="W181" i="1"/>
  <c r="K88" i="1"/>
  <c r="K89" i="1" s="1"/>
  <c r="K11" i="1" s="1"/>
  <c r="K11" i="8" s="1"/>
  <c r="N267" i="6"/>
  <c r="G28" i="8"/>
  <c r="J268" i="6"/>
  <c r="J14" i="6" s="1"/>
  <c r="M268" i="6"/>
  <c r="M14" i="6" s="1"/>
  <c r="P267" i="6"/>
  <c r="P268" i="6" s="1"/>
  <c r="P14" i="6" s="1"/>
  <c r="S267" i="6"/>
  <c r="S268" i="6" s="1"/>
  <c r="S14" i="6" s="1"/>
  <c r="S189" i="6"/>
  <c r="S13" i="6" s="1"/>
  <c r="S25" i="8" s="1"/>
  <c r="P189" i="6"/>
  <c r="P13" i="6" s="1"/>
  <c r="P25" i="8" s="1"/>
  <c r="M155" i="6"/>
  <c r="M12" i="6" s="1"/>
  <c r="M24" i="8" s="1"/>
  <c r="V267" i="6"/>
  <c r="V268" i="6" s="1"/>
  <c r="V14" i="6" s="1"/>
  <c r="K24" i="8"/>
  <c r="J189" i="6"/>
  <c r="J13" i="6" s="1"/>
  <c r="J25" i="8" s="1"/>
  <c r="V189" i="6"/>
  <c r="V13" i="6" s="1"/>
  <c r="V25" i="8" s="1"/>
  <c r="J155" i="6"/>
  <c r="J12" i="6" s="1"/>
  <c r="J24" i="8" s="1"/>
  <c r="M189" i="6"/>
  <c r="M13" i="6" s="1"/>
  <c r="M25" i="8" s="1"/>
  <c r="N12" i="6"/>
  <c r="N24" i="8" s="1"/>
  <c r="V26" i="8" l="1"/>
  <c r="S26" i="8"/>
  <c r="P26" i="8"/>
  <c r="M26" i="8"/>
  <c r="M28" i="8" s="1"/>
  <c r="M36" i="8" s="1"/>
  <c r="M16" i="6"/>
  <c r="J26" i="8"/>
  <c r="J28" i="8" s="1"/>
  <c r="J16" i="6"/>
  <c r="W267" i="6"/>
  <c r="W268" i="6" s="1"/>
  <c r="W14" i="6" s="1"/>
  <c r="T267" i="6"/>
  <c r="T268" i="6" s="1"/>
  <c r="T14" i="6" s="1"/>
  <c r="Q267" i="6"/>
  <c r="Q268" i="6" s="1"/>
  <c r="Q14" i="6" s="1"/>
  <c r="N268" i="6"/>
  <c r="N14" i="6" s="1"/>
  <c r="K268" i="6"/>
  <c r="K14" i="6" s="1"/>
  <c r="S155" i="6"/>
  <c r="S12" i="6" s="1"/>
  <c r="S24" i="8" s="1"/>
  <c r="T155" i="6"/>
  <c r="T12" i="6" s="1"/>
  <c r="T24" i="8" s="1"/>
  <c r="V155" i="6"/>
  <c r="V12" i="6" s="1"/>
  <c r="V24" i="8" s="1"/>
  <c r="W155" i="6"/>
  <c r="W12" i="6" s="1"/>
  <c r="W24" i="8" s="1"/>
  <c r="P155" i="6"/>
  <c r="P12" i="6" s="1"/>
  <c r="P24" i="8" s="1"/>
  <c r="Q155" i="6"/>
  <c r="Q12" i="6" s="1"/>
  <c r="Q24" i="8" s="1"/>
  <c r="V23" i="8"/>
  <c r="S23" i="8"/>
  <c r="P23" i="8"/>
  <c r="Z344" i="1"/>
  <c r="Z14" i="1" s="1"/>
  <c r="V14" i="8" s="1"/>
  <c r="AA344" i="1"/>
  <c r="AA14" i="1" s="1"/>
  <c r="W14" i="8" s="1"/>
  <c r="N344" i="1"/>
  <c r="N14" i="1" s="1"/>
  <c r="M14" i="8" s="1"/>
  <c r="O344" i="1"/>
  <c r="O14" i="1" s="1"/>
  <c r="N14" i="8" s="1"/>
  <c r="R344" i="1"/>
  <c r="R14" i="1" s="1"/>
  <c r="P14" i="8" s="1"/>
  <c r="S344" i="1"/>
  <c r="S14" i="1" s="1"/>
  <c r="Q14" i="8" s="1"/>
  <c r="J89" i="1"/>
  <c r="J11" i="1" s="1"/>
  <c r="J11" i="8" s="1"/>
  <c r="J344" i="1"/>
  <c r="J14" i="1" s="1"/>
  <c r="J14" i="8" s="1"/>
  <c r="K344" i="1"/>
  <c r="K14" i="1" s="1"/>
  <c r="K14" i="8" s="1"/>
  <c r="V344" i="1"/>
  <c r="V14" i="1" s="1"/>
  <c r="S14" i="8" s="1"/>
  <c r="W344" i="1"/>
  <c r="W14" i="1" s="1"/>
  <c r="T14" i="8" s="1"/>
  <c r="Z89" i="1"/>
  <c r="Z11" i="1" s="1"/>
  <c r="V11" i="8" s="1"/>
  <c r="AA89" i="1"/>
  <c r="AA11" i="1" s="1"/>
  <c r="W11" i="8" s="1"/>
  <c r="N89" i="1"/>
  <c r="N11" i="1" s="1"/>
  <c r="M11" i="8" s="1"/>
  <c r="O89" i="1"/>
  <c r="O11" i="1" s="1"/>
  <c r="N11" i="8" s="1"/>
  <c r="V89" i="1"/>
  <c r="V11" i="1" s="1"/>
  <c r="S11" i="8" s="1"/>
  <c r="W89" i="1"/>
  <c r="W11" i="1" s="1"/>
  <c r="T11" i="8" s="1"/>
  <c r="R89" i="1"/>
  <c r="R11" i="1" s="1"/>
  <c r="S89" i="1"/>
  <c r="S11" i="1" s="1"/>
  <c r="Q11" i="8" s="1"/>
  <c r="O298" i="1"/>
  <c r="O13" i="1" s="1"/>
  <c r="N13" i="8" s="1"/>
  <c r="P16" i="6" l="1"/>
  <c r="S16" i="6"/>
  <c r="V16" i="6"/>
  <c r="W26" i="8"/>
  <c r="W28" i="8" s="1"/>
  <c r="W36" i="8" s="1"/>
  <c r="W16" i="6"/>
  <c r="T26" i="8"/>
  <c r="T28" i="8" s="1"/>
  <c r="T16" i="6"/>
  <c r="Q26" i="8"/>
  <c r="Q28" i="8" s="1"/>
  <c r="Q16" i="6"/>
  <c r="N26" i="8"/>
  <c r="N28" i="8" s="1"/>
  <c r="N36" i="8" s="1"/>
  <c r="N16" i="6"/>
  <c r="K26" i="8"/>
  <c r="K28" i="8" s="1"/>
  <c r="K36" i="8" s="1"/>
  <c r="K16" i="6"/>
  <c r="P28" i="8"/>
  <c r="P36" i="8" s="1"/>
  <c r="V28" i="8"/>
  <c r="V36" i="8" s="1"/>
  <c r="S28" i="8"/>
  <c r="S36" i="8" s="1"/>
  <c r="P11" i="8"/>
  <c r="J36" i="8"/>
  <c r="AA298" i="1"/>
  <c r="AA13" i="1" s="1"/>
  <c r="W13" i="8" s="1"/>
  <c r="W298" i="1"/>
  <c r="W13" i="1" s="1"/>
  <c r="S298" i="1"/>
  <c r="S13" i="1" s="1"/>
  <c r="Q13" i="8" s="1"/>
  <c r="V182" i="1"/>
  <c r="V12" i="1" s="1"/>
  <c r="S12" i="8" s="1"/>
  <c r="W182" i="1"/>
  <c r="W12" i="1" s="1"/>
  <c r="T12" i="8" s="1"/>
  <c r="Z182" i="1"/>
  <c r="Z12" i="1" s="1"/>
  <c r="V12" i="8" s="1"/>
  <c r="AA182" i="1"/>
  <c r="AA12" i="1" s="1"/>
  <c r="W12" i="8" s="1"/>
  <c r="J182" i="1"/>
  <c r="J12" i="1" s="1"/>
  <c r="J12" i="8" s="1"/>
  <c r="K182" i="1"/>
  <c r="K12" i="1" s="1"/>
  <c r="K12" i="8" s="1"/>
  <c r="J13" i="1"/>
  <c r="J13" i="8" s="1"/>
  <c r="K298" i="1"/>
  <c r="K13" i="1" s="1"/>
  <c r="N182" i="1"/>
  <c r="N12" i="1" s="1"/>
  <c r="M12" i="8" s="1"/>
  <c r="O182" i="1"/>
  <c r="O12" i="1" s="1"/>
  <c r="N12" i="8" s="1"/>
  <c r="N16" i="8" s="1"/>
  <c r="N35" i="8" s="1"/>
  <c r="R182" i="1"/>
  <c r="R12" i="1" s="1"/>
  <c r="P12" i="8" s="1"/>
  <c r="S182" i="1"/>
  <c r="S12" i="1" s="1"/>
  <c r="R298" i="1"/>
  <c r="R13" i="1" s="1"/>
  <c r="P13" i="8" s="1"/>
  <c r="V298" i="1"/>
  <c r="V13" i="1" s="1"/>
  <c r="S13" i="8" s="1"/>
  <c r="Z298" i="1"/>
  <c r="Z13" i="1" s="1"/>
  <c r="V13" i="8" s="1"/>
  <c r="N298" i="1"/>
  <c r="N13" i="1" s="1"/>
  <c r="J16" i="8" l="1"/>
  <c r="J35" i="8" s="1"/>
  <c r="J38" i="8" s="1"/>
  <c r="J39" i="8" s="1"/>
  <c r="R16" i="1"/>
  <c r="N38" i="8"/>
  <c r="N39" i="8" s="1"/>
  <c r="T36" i="8"/>
  <c r="AA16" i="1"/>
  <c r="K13" i="8"/>
  <c r="K16" i="1"/>
  <c r="W16" i="8"/>
  <c r="W35" i="8" s="1"/>
  <c r="W38" i="8" s="1"/>
  <c r="W39" i="8" s="1"/>
  <c r="O16" i="1"/>
  <c r="Q12" i="8"/>
  <c r="Q16" i="8" s="1"/>
  <c r="Q35" i="8" s="1"/>
  <c r="S16" i="1"/>
  <c r="J16" i="1"/>
  <c r="V16" i="8"/>
  <c r="V35" i="8" s="1"/>
  <c r="V38" i="8" s="1"/>
  <c r="V39" i="8" s="1"/>
  <c r="N16" i="1"/>
  <c r="M13" i="8"/>
  <c r="M16" i="8" s="1"/>
  <c r="M35" i="8" s="1"/>
  <c r="M38" i="8" s="1"/>
  <c r="M39" i="8" s="1"/>
  <c r="W16" i="1"/>
  <c r="T13" i="8"/>
  <c r="T16" i="8" s="1"/>
  <c r="T35" i="8" s="1"/>
  <c r="S16" i="8"/>
  <c r="S35" i="8" s="1"/>
  <c r="S38" i="8" s="1"/>
  <c r="S39" i="8" s="1"/>
  <c r="Q36" i="8"/>
  <c r="P16" i="8"/>
  <c r="P35" i="8" s="1"/>
  <c r="P38" i="8" s="1"/>
  <c r="P39" i="8" s="1"/>
  <c r="V16" i="1"/>
  <c r="Z16" i="1"/>
  <c r="K16" i="8" l="1"/>
  <c r="K35" i="8" s="1"/>
  <c r="K38" i="8" s="1"/>
  <c r="K39" i="8" s="1"/>
  <c r="T38" i="8"/>
  <c r="T39" i="8" s="1"/>
  <c r="Q38" i="8"/>
  <c r="Q39" i="8" s="1"/>
</calcChain>
</file>

<file path=xl/sharedStrings.xml><?xml version="1.0" encoding="utf-8"?>
<sst xmlns="http://schemas.openxmlformats.org/spreadsheetml/2006/main" count="1678" uniqueCount="534">
  <si>
    <t>Forellenregion</t>
  </si>
  <si>
    <t>Äschenregion</t>
  </si>
  <si>
    <t>Barbenregion</t>
  </si>
  <si>
    <t>Ausleitungskraftwerk</t>
  </si>
  <si>
    <t>Laufkraftwerk mit langer Mauer im Unterwasser</t>
  </si>
  <si>
    <t>Ausleitungskraftwerk ohne Unterwasserkanal oder abgetrennter Restwasserstrecke</t>
  </si>
  <si>
    <t>Anströmgeschwindigkeit ≤ 0.5 m/s</t>
  </si>
  <si>
    <t>Anströmgeschwindigkeit &gt; 0.5 m/s</t>
  </si>
  <si>
    <t>Obere Forellenregion</t>
  </si>
  <si>
    <t>Untere Forellenregion</t>
  </si>
  <si>
    <t>Zielwert</t>
  </si>
  <si>
    <t>Gewässer mit Seeforelle und/oder Lachs</t>
  </si>
  <si>
    <t>Alle anderen Gewässer</t>
  </si>
  <si>
    <t>&lt; 2.0 m/s resp. &lt; 0.20 m</t>
  </si>
  <si>
    <t>&lt; 1.8 m/s resp. &lt; 0.17 m</t>
  </si>
  <si>
    <t>Gesamthöhenunterschied</t>
  </si>
  <si>
    <t>&lt; 3 m</t>
  </si>
  <si>
    <t>&lt; 1.9 m/s resp. &lt; 0.18 m</t>
  </si>
  <si>
    <t>&lt; 1.7 m/s resp. &lt; 0.15 m</t>
  </si>
  <si>
    <t>&lt; 1.6 m/s resp. &lt; 0.13 m</t>
  </si>
  <si>
    <t>Bauweise</t>
  </si>
  <si>
    <t>In der FAH herrschen natürliche Lichtverhältnisse.</t>
  </si>
  <si>
    <t>V1</t>
  </si>
  <si>
    <t>V2</t>
  </si>
  <si>
    <t>Fischregion:</t>
  </si>
  <si>
    <t>Vorkommen Seeforelle und/oder Lachs:</t>
  </si>
  <si>
    <t>nein</t>
  </si>
  <si>
    <t>Flussbreite &lt; 50 m</t>
  </si>
  <si>
    <t>3 m bis 6 m</t>
  </si>
  <si>
    <t>6 m bis 9 m</t>
  </si>
  <si>
    <t>&gt; 9 m</t>
  </si>
  <si>
    <t>ja</t>
  </si>
  <si>
    <t>Flussbreite:</t>
  </si>
  <si>
    <t>Gewichtung</t>
  </si>
  <si>
    <t>Wehr ohne Kraftwerk</t>
  </si>
  <si>
    <t>Σ</t>
  </si>
  <si>
    <t>[°]</t>
  </si>
  <si>
    <t>[m]</t>
  </si>
  <si>
    <t>s [m]</t>
  </si>
  <si>
    <t>Hilfstabelle:</t>
  </si>
  <si>
    <t>(Minimumsprinzip)</t>
  </si>
  <si>
    <t>Flussbreite &gt; 50 m</t>
  </si>
  <si>
    <t>genügend</t>
  </si>
  <si>
    <t>ungenügend</t>
  </si>
  <si>
    <t>►</t>
  </si>
  <si>
    <t>keine Korrektur</t>
  </si>
  <si>
    <t>neutral</t>
  </si>
  <si>
    <t>negativ beeinflusst</t>
  </si>
  <si>
    <t>deutlich verbessert</t>
  </si>
  <si>
    <t>verschlechtert</t>
  </si>
  <si>
    <t>nein / temporär</t>
  </si>
  <si>
    <t>&lt; 10%</t>
  </si>
  <si>
    <t>&gt; 10%</t>
  </si>
  <si>
    <t>K1</t>
  </si>
  <si>
    <t>K2</t>
  </si>
  <si>
    <t>VORAUSWAHL BAUTYPEN</t>
  </si>
  <si>
    <t>NUTZEN</t>
  </si>
  <si>
    <t>GESAMTBEWERTUNG NUTZEN</t>
  </si>
  <si>
    <t>KOSTEN</t>
  </si>
  <si>
    <t>[CHF]</t>
  </si>
  <si>
    <t>Baukosten</t>
  </si>
  <si>
    <t>Planungskosten</t>
  </si>
  <si>
    <t>Unterhaltskosten</t>
  </si>
  <si>
    <r>
      <t xml:space="preserve">Erlöseinbussen </t>
    </r>
    <r>
      <rPr>
        <sz val="10"/>
        <rFont val="Arial"/>
        <family val="2"/>
      </rPr>
      <t>(Betrieb; 40 Jahre oder Konzessionsende)</t>
    </r>
  </si>
  <si>
    <r>
      <t xml:space="preserve">Erlöseinbussen </t>
    </r>
    <r>
      <rPr>
        <sz val="10"/>
        <rFont val="Arial"/>
        <family val="2"/>
      </rPr>
      <t>(Bauzeit)</t>
    </r>
  </si>
  <si>
    <t>MWST (7.7%)</t>
  </si>
  <si>
    <t>(x) einfügen:</t>
  </si>
  <si>
    <r>
      <t>h</t>
    </r>
    <r>
      <rPr>
        <vertAlign val="subscript"/>
        <sz val="10"/>
        <rFont val="Arial"/>
        <family val="2"/>
      </rPr>
      <t>u</t>
    </r>
    <r>
      <rPr>
        <sz val="10"/>
        <rFont val="Arial"/>
        <family val="2"/>
      </rPr>
      <t xml:space="preserve"> [m]</t>
    </r>
  </si>
  <si>
    <r>
      <t>b</t>
    </r>
    <r>
      <rPr>
        <vertAlign val="subscript"/>
        <sz val="10"/>
        <rFont val="Arial"/>
        <family val="2"/>
      </rPr>
      <t>LB</t>
    </r>
    <r>
      <rPr>
        <sz val="10"/>
        <rFont val="Arial"/>
        <family val="2"/>
      </rPr>
      <t xml:space="preserve"> [m]</t>
    </r>
  </si>
  <si>
    <r>
      <t>L</t>
    </r>
    <r>
      <rPr>
        <vertAlign val="subscript"/>
        <sz val="10"/>
        <rFont val="Arial"/>
        <family val="2"/>
      </rPr>
      <t>LB</t>
    </r>
    <r>
      <rPr>
        <sz val="10"/>
        <rFont val="Arial"/>
        <family val="2"/>
      </rPr>
      <t xml:space="preserve"> [m]</t>
    </r>
  </si>
  <si>
    <r>
      <t>P</t>
    </r>
    <r>
      <rPr>
        <vertAlign val="subscript"/>
        <sz val="10"/>
        <rFont val="Arial"/>
        <family val="2"/>
      </rPr>
      <t>v</t>
    </r>
    <r>
      <rPr>
        <sz val="10"/>
        <rFont val="Arial"/>
        <family val="2"/>
      </rPr>
      <t xml:space="preserve"> [W/m</t>
    </r>
    <r>
      <rPr>
        <vertAlign val="superscript"/>
        <sz val="10"/>
        <rFont val="Arial"/>
        <family val="2"/>
      </rPr>
      <t>3</t>
    </r>
    <r>
      <rPr>
        <sz val="10"/>
        <rFont val="Arial"/>
        <family val="2"/>
      </rPr>
      <t>]</t>
    </r>
  </si>
  <si>
    <t>geringfügig negativ beeinflusst</t>
  </si>
  <si>
    <t>Konventioneller Schlitzpass</t>
  </si>
  <si>
    <t>Multi-Struktur-Schlitzpass</t>
  </si>
  <si>
    <t>Raugerinne-Beckenpass</t>
  </si>
  <si>
    <t>Umgehungsgewässer</t>
  </si>
  <si>
    <t>&gt; 5 m</t>
  </si>
  <si>
    <t>4 bis 5 m</t>
  </si>
  <si>
    <t>&lt; 4 m</t>
  </si>
  <si>
    <t>&gt; 10 m</t>
  </si>
  <si>
    <t>8 bis 10 m</t>
  </si>
  <si>
    <t>&lt; 8 m</t>
  </si>
  <si>
    <t>&gt; 0.38</t>
  </si>
  <si>
    <t>&lt; 0.15</t>
  </si>
  <si>
    <t>0.15 bis 0.19</t>
  </si>
  <si>
    <t>&gt; 0.19</t>
  </si>
  <si>
    <t>&lt; 0.24</t>
  </si>
  <si>
    <t>&gt; 2.2 m/s resp. &gt; 0.25 m</t>
  </si>
  <si>
    <t>2.0 bis 2.2 m/s resp. 0.20 bis 0.25 m</t>
  </si>
  <si>
    <t>&gt; 2.1 m/s resp. &gt; 0.22 m</t>
  </si>
  <si>
    <t>1.9 bis 2.1 m/s resp. 0.18 bis 0.22 m</t>
  </si>
  <si>
    <t>1.8 bis 2.0 m/s resp. 0.17 bis 0.20 m</t>
  </si>
  <si>
    <t>&gt; 2.0 m/s resp. &gt; 0.20 m</t>
  </si>
  <si>
    <t>1.7 bis 1.9 m/s resp. 0.15 bis 0.18 m</t>
  </si>
  <si>
    <t>&gt; 1.9 m/s resp. &gt; 0.18 m</t>
  </si>
  <si>
    <t>1.6 bis 1.8 m/s resp. 0.13 bis 0.17 m</t>
  </si>
  <si>
    <t>&gt; 1.8 m/s resp. &gt; 0.17 m</t>
  </si>
  <si>
    <t>&lt; 1.5 m/s resp. &lt; 0.11 m</t>
  </si>
  <si>
    <t>1.5 bis 1.7 m/s resp. 0.11 bis 0.15 m</t>
  </si>
  <si>
    <t>&gt; 1.7 m/s resp. &gt; 0.15 m</t>
  </si>
  <si>
    <t>&lt; 1.4 m/s resp. &lt; 0.10 m</t>
  </si>
  <si>
    <t>1.4 bis 1.6 m/s resp. 0.10 bis 0.13 m</t>
  </si>
  <si>
    <t>&gt; 1.6 m/s resp. &gt; 0.13 m</t>
  </si>
  <si>
    <t>&gt; 0.21 m/s</t>
  </si>
  <si>
    <t>&gt; 0.32 m/s</t>
  </si>
  <si>
    <t>0.3 bis 0.32 m/s</t>
  </si>
  <si>
    <t>&lt; 0.3 m/s</t>
  </si>
  <si>
    <t>0.2 bis 0.21 m/s</t>
  </si>
  <si>
    <t>&lt; 0.2 m/s</t>
  </si>
  <si>
    <t>In der FAH treten mässige Helligkeitswechsel auf.</t>
  </si>
  <si>
    <t>Das Sohlensubstrat ist nicht durchgängig (z.B. Querriegel), die Sohle ist glatt, es ist kein ausreichendes Lückensystem vorhanden.</t>
  </si>
  <si>
    <t>Moorschutz</t>
  </si>
  <si>
    <t>Auenschutz</t>
  </si>
  <si>
    <t>Beispiele:</t>
  </si>
  <si>
    <t>Landschaftsschutz</t>
  </si>
  <si>
    <t>Amphibienschutz</t>
  </si>
  <si>
    <t>Naturschutz (Weitere)</t>
  </si>
  <si>
    <t>Heimatschutz</t>
  </si>
  <si>
    <t>Natur- und Heimatschutz</t>
  </si>
  <si>
    <t>Raumplanung / Umweltschutz / Nutzung</t>
  </si>
  <si>
    <t>Fruchtfolgeflächen</t>
  </si>
  <si>
    <t>Wildtierkorridore</t>
  </si>
  <si>
    <t>Wird die Kapazität des Grundwasserleiters durch diese Variante eingeschränkt?</t>
  </si>
  <si>
    <t>Bundesinventar der Flachmoore von nationaler Bedeutung (Flachmoorinventar)
Bundesinventar der Hoch- und Übergangsmorre von nationaler Bedeutung (Hochmoorinventar)
Bundesinventar der Moorlandschaften von besonderer Schönheit und von nationaler Bedeutung (Moorlandschaftsinventar)
Kantonale und kommunale Moorschutzgebiete</t>
  </si>
  <si>
    <t>Bundesinventar der Auengebiete von nationaler Bedeutung (Aueninventar)
Kantonale und kommunale Auenschutzgebiete (z.B. Auenschutzpark Kt. AG)</t>
  </si>
  <si>
    <t>Bundesinventar der Amphibienlaichgebiete von nationaler Bedeutung (IANB)
Kantonale und kommunale Amphibienschutzgebiete</t>
  </si>
  <si>
    <t>Bundesinventar der Trockenwiesen und -weiden von nationaler Bedeutung
Kantonale und kommunale Naturschutzgebiete</t>
  </si>
  <si>
    <t>Bundesinventar der Landschaften und Naturdenkmäler (BLN)
Kantonale und kommunale Landschaftsschutzgebiete</t>
  </si>
  <si>
    <t>Bundesinventar der schützenswerten Ortsbilder der Schweiz von nationaler Bedeutung (ISOS)
Bundesinventar der historischen Verkehrswege der Schweiz (IVS)
Kantonale und kommunale Heimatschutzobjekte</t>
  </si>
  <si>
    <t>FISCHFAUNA</t>
  </si>
  <si>
    <t>ANLAGE</t>
  </si>
  <si>
    <t>B5 Grundwasserschutz</t>
  </si>
  <si>
    <t>Das Erstellen von Bauten und Anlagen ist in Grundwasserschutzzonen nur in Ausnahmefällen möglich. Eine gewässerschutzrechtliche Bewilligung ist in jedem Fall nötig.</t>
  </si>
  <si>
    <t>Grundsätzlich sind alle Bautypen möglich.</t>
  </si>
  <si>
    <t>Tangiert das Bauvorhaben Amphibienschutzgebiete?</t>
  </si>
  <si>
    <t>Tangiert das Bauvorhaben Grundwasserschutzzonen S1/S2/S3?</t>
  </si>
  <si>
    <t>B3 Auenschutz</t>
  </si>
  <si>
    <t>Tangiert das Bauvorhaben Auenschutzgebiete?</t>
  </si>
  <si>
    <t>Tangiert das Bauvorhaben Waldflächen?</t>
  </si>
  <si>
    <t>B1 Moorschutz</t>
  </si>
  <si>
    <t>Tangiert das Bauvorhaben Moorschutzgebiete?</t>
  </si>
  <si>
    <t>(4) Kosten-Nutzen-Analyse</t>
  </si>
  <si>
    <t>(2) Vorauswahl Bautypen</t>
  </si>
  <si>
    <t>Das Erstellen von Anlagen und Bauten ist in Moorschutzgebieten grundsätzlich nicht erlaubt.</t>
  </si>
  <si>
    <t>Tangiert die Variante Auenschutzgebiete?</t>
  </si>
  <si>
    <t>Tangiert die Variante Amphibienschutzgebiete</t>
  </si>
  <si>
    <t>Tangiert die Variante weitere Naturschutzgebiete?</t>
  </si>
  <si>
    <t>Tangiert die Variante Heimatschutzobjekte?</t>
  </si>
  <si>
    <t>Tangiert die Variante Landschaftsschutzgebiete?</t>
  </si>
  <si>
    <t>Tangiert die Variante Wildtierkorridore?</t>
  </si>
  <si>
    <t>Beansprucht die Variante dauerhaft Fruchtfolgeflächen? (Referenz: Betroffene FFF bei Maximalvariante = 100%)</t>
  </si>
  <si>
    <t>ja, aber Schutzziel erreicht</t>
  </si>
  <si>
    <t>ja, Schutzziel nicht erreicht</t>
  </si>
  <si>
    <t>positiv</t>
  </si>
  <si>
    <t>negativ</t>
  </si>
  <si>
    <t>ja, in geringem Masse</t>
  </si>
  <si>
    <t>ja, in grossem Masse</t>
  </si>
  <si>
    <t>Beeinflusst die Variante den Hochwasserschutz weiterer Infrastrukturanlagen?</t>
  </si>
  <si>
    <t>Beeinflusst die Variante Drittprojekte?</t>
  </si>
  <si>
    <t>Wie beeinflusst die Variante das ökologische Potenzial des Gewässers neben der Wiederherstellung der Fischgängigkeit?</t>
  </si>
  <si>
    <t>Wie beeinflusst die Variante die Vernetzung der terrestrischen Fauna?</t>
  </si>
  <si>
    <t>Wie verändert die Variante den Naherholungswert (z.B. Zugänglichkeit und Erlebbarkeit des Gewässers)?</t>
  </si>
  <si>
    <t>Anströmgeschwindig-keit ≤ 0.5 m/s</t>
  </si>
  <si>
    <t>Anströmgeschwindig-keit &gt; 0.5 m/s</t>
  </si>
  <si>
    <t>[%]</t>
  </si>
  <si>
    <t>Die Ausprägung der Leitströmung variiert leicht über die Tiefe des Einstiegs. Die Fliessgeschwindigkeit am Einstieg ist geringfügig tiefer / höher als die Fliessgeschwindigkeit in den Engstellen und variiert leicht in Abhängigkeit des Unterwasserspiegels.</t>
  </si>
  <si>
    <t>Die Ausprägung der Leitströmung variiert stark über die Tiefe des Einstiegs. Die Fliessgeschwindigkeit am Einstieg ist tiefer / höher als die Fliessgeschwindigkeit in den Engstellen und variiert stark in Abhängigkeit des Unterwasserspiegels.</t>
  </si>
  <si>
    <t>Es besteht ein durchgängiges, mässig raues Sohlensubstrat.</t>
  </si>
  <si>
    <t>Es besteht ein durchgängiges, raues Sohlensubstrat aus Kies und/oder Geröll.</t>
  </si>
  <si>
    <t>Die FAH ist abgedeckt oder strukturiert ausgestaltet. Beim Ausstieg ist ein strukturreiches Ufer vorhanden.</t>
  </si>
  <si>
    <t>Die FAH ist teilweise abgedeckt oder leicht strukturiert ausgestaltet. Beim Ausstieg ist ein mässig strukturreiches Ufer vorhanden.</t>
  </si>
  <si>
    <t>Die FAH ist nicht abgedeckt oder strukturarm ausgestaltet. Es sind Zonen mit besonders geringer Leistungsdichte ("Ruhebecken") vorhanden. Beim Ausstieg ist ein strukturarmes Ufer vorhanden.</t>
  </si>
  <si>
    <t>Die FAH benötigt einen geringen Unterhalt, um ihre Funktion sicherzustellen.</t>
  </si>
  <si>
    <t>Die FAH benötigt einen intensiven Unterhalt, um ihre Funktion sicherzustellen.</t>
  </si>
  <si>
    <t>Die FAH benötigt einen mässigen Unterhalt, um ihre Funktion sicherzustellen.</t>
  </si>
  <si>
    <t>Bitte wählen</t>
  </si>
  <si>
    <t>Laufkraftwerk</t>
  </si>
  <si>
    <t>B4 Amphibienschutz</t>
  </si>
  <si>
    <t>x</t>
  </si>
  <si>
    <t>Schlitzpass links</t>
  </si>
  <si>
    <t>KOSTEN (±25%)</t>
  </si>
  <si>
    <t xml:space="preserve">Tangiert die Variante Moorschutzgebiete?
</t>
  </si>
  <si>
    <t>Zielart:</t>
  </si>
  <si>
    <t>Weitere Zielarten:</t>
  </si>
  <si>
    <t>Zielart, massgebend bzgl. geometrischer Dimensionierung:</t>
  </si>
  <si>
    <t>Anzahl weitere Zielarten (max. 10):</t>
  </si>
  <si>
    <t>Bitte alle für das Projektgebiet relevante Randbedingungen ankreuzen:</t>
  </si>
  <si>
    <t>(1) Grundlagen</t>
  </si>
  <si>
    <t>Eingabe:</t>
  </si>
  <si>
    <r>
      <t>k</t>
    </r>
    <r>
      <rPr>
        <vertAlign val="subscript"/>
        <sz val="10"/>
        <color theme="0" tint="-0.14999847407452621"/>
        <rFont val="Arial"/>
        <family val="2"/>
      </rPr>
      <t>hoch</t>
    </r>
    <r>
      <rPr>
        <sz val="10"/>
        <color theme="0" tint="-0.14999847407452621"/>
        <rFont val="Arial"/>
        <family val="2"/>
      </rPr>
      <t xml:space="preserve"> [-]:</t>
    </r>
  </si>
  <si>
    <r>
      <t>k</t>
    </r>
    <r>
      <rPr>
        <vertAlign val="subscript"/>
        <sz val="10"/>
        <color theme="0" tint="-0.14999847407452621"/>
        <rFont val="Arial"/>
        <family val="2"/>
      </rPr>
      <t>dick</t>
    </r>
    <r>
      <rPr>
        <sz val="10"/>
        <color theme="0" tint="-0.14999847407452621"/>
        <rFont val="Arial"/>
        <family val="2"/>
      </rPr>
      <t xml:space="preserve"> [-]:</t>
    </r>
  </si>
  <si>
    <t>Seeforelle</t>
  </si>
  <si>
    <t>ÜBERSICHT BAUTYPEN</t>
  </si>
  <si>
    <t>KORRIDORE</t>
  </si>
  <si>
    <t>Abkürzung Varianten:</t>
  </si>
  <si>
    <t>Links</t>
  </si>
  <si>
    <t>Rechts</t>
  </si>
  <si>
    <t>Abkürzung Korridore:</t>
  </si>
  <si>
    <t>BAUTYPENABHÄNGIGE SICHERHEITSBEIWERTE</t>
  </si>
  <si>
    <t>Definition Korridore</t>
  </si>
  <si>
    <t>Definition Varianten</t>
  </si>
  <si>
    <t>VARIANTEN</t>
  </si>
  <si>
    <r>
      <t>Sicherheitsbeiwert Fliessgeschwindigkeiten S</t>
    </r>
    <r>
      <rPr>
        <vertAlign val="subscript"/>
        <sz val="10"/>
        <rFont val="Arial"/>
        <family val="2"/>
      </rPr>
      <t>v</t>
    </r>
    <r>
      <rPr>
        <sz val="10"/>
        <rFont val="Arial"/>
        <family val="2"/>
      </rPr>
      <t>:</t>
    </r>
  </si>
  <si>
    <r>
      <t>Sicherheitsbeiwert Geometrie S</t>
    </r>
    <r>
      <rPr>
        <vertAlign val="subscript"/>
        <sz val="10"/>
        <rFont val="Arial"/>
        <family val="2"/>
      </rPr>
      <t>g</t>
    </r>
    <r>
      <rPr>
        <sz val="10"/>
        <rFont val="Arial"/>
        <family val="2"/>
      </rPr>
      <t>:</t>
    </r>
  </si>
  <si>
    <r>
      <t>Sicherheitsbeiwert Leistungsdichte S</t>
    </r>
    <r>
      <rPr>
        <vertAlign val="subscript"/>
        <sz val="10"/>
        <rFont val="Arial"/>
        <family val="2"/>
      </rPr>
      <t>p</t>
    </r>
    <r>
      <rPr>
        <sz val="10"/>
        <rFont val="Arial"/>
        <family val="2"/>
      </rPr>
      <t>:</t>
    </r>
  </si>
  <si>
    <r>
      <t>Sicherheitsbeiwert Betrieb S</t>
    </r>
    <r>
      <rPr>
        <vertAlign val="subscript"/>
        <sz val="10"/>
        <rFont val="Arial"/>
        <family val="2"/>
      </rPr>
      <t>b</t>
    </r>
    <r>
      <rPr>
        <sz val="10"/>
        <rFont val="Arial"/>
        <family val="2"/>
      </rPr>
      <t>:</t>
    </r>
  </si>
  <si>
    <t>Raugerinne ohne Einbauten</t>
  </si>
  <si>
    <t>Raugerinne mit Störsteinen</t>
  </si>
  <si>
    <r>
      <t>Sicherheitsbeiwert Wassertiefe S</t>
    </r>
    <r>
      <rPr>
        <vertAlign val="subscript"/>
        <sz val="10"/>
        <rFont val="Arial"/>
        <family val="2"/>
      </rPr>
      <t>g</t>
    </r>
    <r>
      <rPr>
        <sz val="10"/>
        <rFont val="Arial"/>
        <family val="2"/>
      </rPr>
      <t xml:space="preserve"> (nur Raugerinne o. E.):</t>
    </r>
  </si>
  <si>
    <t>Betriebliche Bedingungen:</t>
  </si>
  <si>
    <t>Begründung:</t>
  </si>
  <si>
    <t>geringer Wartungsbedarf</t>
  </si>
  <si>
    <t>grosse Wartungsintervalle bzw.
erhöhte Verlegungsgefahr</t>
  </si>
  <si>
    <t>RANDBEDINGUNGEN PROJEKTGEBIET</t>
  </si>
  <si>
    <t>(3) Variantenbewertung</t>
  </si>
  <si>
    <t>Bautypenabhängige Sicherheitsbeiwerte nach DWA (2014)</t>
  </si>
  <si>
    <t>technische Bautypen</t>
  </si>
  <si>
    <t>naturnahe Bautypen</t>
  </si>
  <si>
    <t>Raugerinne mit Beckenstruktur</t>
  </si>
  <si>
    <t>= Sicherheitsbeiwert Geometrie</t>
  </si>
  <si>
    <r>
      <t>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</si>
  <si>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t>Automatisch</t>
  </si>
  <si>
    <t>Benutzerdefiniert</t>
  </si>
  <si>
    <t>gut</t>
  </si>
  <si>
    <t>Alle Grenzwerte (zur Dokumentation)</t>
  </si>
  <si>
    <t>Im Übergangsbereich zwischen zwei Bautypen werden sämtliche geometrischen und hydraulischen Bemessungswerte eingehalten.</t>
  </si>
  <si>
    <t>Bautypenkombination:</t>
  </si>
  <si>
    <t>Technische Fischpasse sind zu vermeiden oder auf ein Minimum der Lauflänge zu begrenzen (Bautypenkombination).</t>
  </si>
  <si>
    <t>Umgehungsgerinne kurz rechts</t>
  </si>
  <si>
    <r>
      <t xml:space="preserve">Kurzbeschrieb Korridore:
</t>
    </r>
    <r>
      <rPr>
        <i/>
        <sz val="10"/>
        <rFont val="Arial"/>
        <family val="2"/>
      </rPr>
      <t>(optional)</t>
    </r>
  </si>
  <si>
    <r>
      <t xml:space="preserve">Kurzbeschrieb Varianten:
</t>
    </r>
    <r>
      <rPr>
        <i/>
        <sz val="10"/>
        <rFont val="Arial"/>
        <family val="2"/>
      </rPr>
      <t>(optional)</t>
    </r>
  </si>
  <si>
    <r>
      <t xml:space="preserve">Bauweise:
</t>
    </r>
    <r>
      <rPr>
        <i/>
        <sz val="10"/>
        <rFont val="Arial"/>
        <family val="2"/>
      </rPr>
      <t>(bei Bautypenkombination Hauptbauweise)</t>
    </r>
  </si>
  <si>
    <t>Im Übergangsbereich zwischen zwei Bautypen werden ein oder mehrere geometrische und hydraulische Grenzwerte nicht eingehalten.</t>
  </si>
  <si>
    <t>Technische Bauweise 
(z.B. konventioneller Schlitzpass)</t>
  </si>
  <si>
    <t>Arbeitsschritte pro Reiter:</t>
  </si>
  <si>
    <t>(keine Unterscheidung zwischen Bundes-, Kantons- und Gemeindeebene)</t>
  </si>
  <si>
    <r>
      <t xml:space="preserve">Anlagentyp:
</t>
    </r>
    <r>
      <rPr>
        <i/>
        <sz val="10"/>
        <rFont val="Arial"/>
        <family val="2"/>
      </rPr>
      <t>Bitte einen Anlagentyp auswählen (identisch für alle Varianten)</t>
    </r>
  </si>
  <si>
    <t>Die Angaben über das Vorhandensein von Schutzgebieten, Wald, etc. resultieren in einer Empfehlung für den Bautypen. Ein Abweichen von dieser Empfehlung ist grundsätzlich möglich, sollte aber begründet werden.</t>
  </si>
  <si>
    <t>Bitte die Anzahl möglicher FAH-Korridore im Projektgebiet definieren und mit Abkürzungen benennen</t>
  </si>
  <si>
    <t>Bitte die Anzahl der FAH-Varianten definieren und mit Abkürzungen benennen</t>
  </si>
  <si>
    <t>Bitte ausfüllen</t>
  </si>
  <si>
    <r>
      <t>Bitte die Kosten (±</t>
    </r>
    <r>
      <rPr>
        <i/>
        <sz val="8.5"/>
        <rFont val="Arial"/>
        <family val="2"/>
      </rPr>
      <t>25%) der einzelnen Varianten angeben</t>
    </r>
  </si>
  <si>
    <t>KOSTEN-NUTZEN-ANALYSE</t>
  </si>
  <si>
    <t>Kosten-Nutzen-Analyse für die automatische sowie die benutzerdefinierte Bewertung</t>
  </si>
  <si>
    <r>
      <t>Bemessungswert: S</t>
    </r>
    <r>
      <rPr>
        <vertAlign val="subscript"/>
        <sz val="10"/>
        <rFont val="Arial"/>
        <family val="2"/>
      </rPr>
      <t>p</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p</t>
    </r>
    <r>
      <rPr>
        <sz val="10"/>
        <rFont val="Arial"/>
        <family val="2"/>
      </rPr>
      <t xml:space="preserve"> und S</t>
    </r>
    <r>
      <rPr>
        <vertAlign val="subscript"/>
        <sz val="10"/>
        <rFont val="Arial"/>
        <family val="2"/>
      </rPr>
      <t>b</t>
    </r>
    <r>
      <rPr>
        <sz val="10"/>
        <rFont val="Arial"/>
        <family val="2"/>
      </rPr>
      <t xml:space="preserve"> gemäss Blatt (3)</t>
    </r>
  </si>
  <si>
    <t>Beckenbauweise</t>
  </si>
  <si>
    <t>Störsteinbauweise</t>
  </si>
  <si>
    <r>
      <t>v</t>
    </r>
    <r>
      <rPr>
        <vertAlign val="subscript"/>
        <sz val="10"/>
        <rFont val="Arial"/>
        <family val="2"/>
      </rPr>
      <t>min</t>
    </r>
    <r>
      <rPr>
        <sz val="10"/>
        <rFont val="Arial"/>
        <family val="2"/>
      </rPr>
      <t xml:space="preserve"> [m/s]</t>
    </r>
  </si>
  <si>
    <r>
      <t>v</t>
    </r>
    <r>
      <rPr>
        <vertAlign val="subscript"/>
        <sz val="10"/>
        <rFont val="Arial"/>
        <family val="2"/>
      </rPr>
      <t>max</t>
    </r>
    <r>
      <rPr>
        <sz val="10"/>
        <rFont val="Arial"/>
        <family val="2"/>
      </rPr>
      <t xml:space="preserve"> [m/s]</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</si>
  <si>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L</t>
    </r>
    <r>
      <rPr>
        <vertAlign val="subscript"/>
        <sz val="10"/>
        <rFont val="Arial"/>
        <family val="2"/>
      </rPr>
      <t>Fisch</t>
    </r>
    <r>
      <rPr>
        <sz val="10"/>
        <rFont val="Arial"/>
        <family val="2"/>
      </rPr>
      <t xml:space="preserve"> [m]:</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</si>
  <si>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H</t>
    </r>
    <r>
      <rPr>
        <vertAlign val="subscript"/>
        <sz val="10"/>
        <rFont val="Arial"/>
        <family val="2"/>
      </rPr>
      <t>Fisch</t>
    </r>
    <r>
      <rPr>
        <sz val="10"/>
        <rFont val="Arial"/>
        <family val="2"/>
      </rPr>
      <t xml:space="preserve"> [m]:</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</si>
  <si>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D</t>
    </r>
    <r>
      <rPr>
        <vertAlign val="subscript"/>
        <sz val="10"/>
        <rFont val="Arial"/>
        <family val="2"/>
      </rPr>
      <t>Fisch</t>
    </r>
    <r>
      <rPr>
        <sz val="10"/>
        <rFont val="Arial"/>
        <family val="2"/>
      </rPr>
      <t xml:space="preserve"> [m]:</t>
    </r>
  </si>
  <si>
    <r>
      <t>für S</t>
    </r>
    <r>
      <rPr>
        <vertAlign val="subscript"/>
        <sz val="10"/>
        <rFont val="Arial"/>
        <family val="2"/>
      </rPr>
      <t>v</t>
    </r>
    <r>
      <rPr>
        <sz val="10"/>
        <rFont val="Arial"/>
        <family val="2"/>
      </rPr>
      <t xml:space="preserve"> = 0.9, S</t>
    </r>
    <r>
      <rPr>
        <vertAlign val="subscript"/>
        <sz val="10"/>
        <rFont val="Arial"/>
        <family val="2"/>
      </rPr>
      <t>b</t>
    </r>
    <r>
      <rPr>
        <sz val="10"/>
        <rFont val="Arial"/>
        <family val="2"/>
      </rPr>
      <t xml:space="preserve"> = 1</t>
    </r>
  </si>
  <si>
    <r>
      <t>für S</t>
    </r>
    <r>
      <rPr>
        <vertAlign val="subscript"/>
        <sz val="10"/>
        <rFont val="Arial"/>
        <family val="2"/>
      </rPr>
      <t>v</t>
    </r>
    <r>
      <rPr>
        <sz val="10"/>
        <rFont val="Arial"/>
        <family val="2"/>
      </rPr>
      <t xml:space="preserve"> = 0.9, S</t>
    </r>
    <r>
      <rPr>
        <vertAlign val="subscript"/>
        <sz val="10"/>
        <rFont val="Arial"/>
        <family val="2"/>
      </rPr>
      <t>b</t>
    </r>
    <r>
      <rPr>
        <sz val="10"/>
        <rFont val="Arial"/>
        <family val="2"/>
      </rPr>
      <t xml:space="preserve"> = 1</t>
    </r>
  </si>
  <si>
    <r>
      <t>für S</t>
    </r>
    <r>
      <rPr>
        <vertAlign val="subscript"/>
        <sz val="10"/>
        <rFont val="Arial"/>
        <family val="2"/>
      </rPr>
      <t>p</t>
    </r>
    <r>
      <rPr>
        <sz val="10"/>
        <rFont val="Arial"/>
        <family val="2"/>
      </rPr>
      <t xml:space="preserve"> = 0.9, S</t>
    </r>
    <r>
      <rPr>
        <vertAlign val="subscript"/>
        <sz val="10"/>
        <rFont val="Arial"/>
        <family val="2"/>
      </rPr>
      <t>b</t>
    </r>
    <r>
      <rPr>
        <sz val="10"/>
        <rFont val="Arial"/>
        <family val="2"/>
      </rPr>
      <t xml:space="preserve"> = 1</t>
    </r>
  </si>
  <si>
    <t>Abstand vom Hindernis</t>
  </si>
  <si>
    <t>Qualitative Einordnung der Zusatzfunktionen verschiedener Bautypen:</t>
  </si>
  <si>
    <t>Fliessgeschwindigkeit beim Einstieg</t>
  </si>
  <si>
    <t>stabil / dissipierend</t>
  </si>
  <si>
    <t>&lt; 0.5 m</t>
  </si>
  <si>
    <t>0.5 bis 1 m</t>
  </si>
  <si>
    <t>&gt; 1 m</t>
  </si>
  <si>
    <t>B6 Wechselnde Ober- und/oder Unterwasserspiegel</t>
  </si>
  <si>
    <t>Bautypenkombinationen (z.B. Schlitzpass beim Einstieg kombiniert mit einen Raugerinne-Beckenpass) sind zu prüfen.</t>
  </si>
  <si>
    <t>Sonderbauweisen oder andere Anpassungen (z.B. mehrere Einstiege bzw. Ausstiege) sind zu prüfen.</t>
  </si>
  <si>
    <t>Asymmetrisches Raugerinne</t>
  </si>
  <si>
    <t>parallel bis &lt; 30° zur Hauptströmung</t>
  </si>
  <si>
    <t>30° bis 40° zur Hauptströmung</t>
  </si>
  <si>
    <t>&gt; 40° zur Hauptströmung</t>
  </si>
  <si>
    <t>1 m</t>
  </si>
  <si>
    <t>0.5 m</t>
  </si>
  <si>
    <t>0.7 m</t>
  </si>
  <si>
    <t>0.21 m</t>
  </si>
  <si>
    <t>0.1 m</t>
  </si>
  <si>
    <t>0.13 m</t>
  </si>
  <si>
    <t>&gt; 0.31 m</t>
  </si>
  <si>
    <t>0.25 bis 0.31 m</t>
  </si>
  <si>
    <t>&lt; 0.25 m</t>
  </si>
  <si>
    <t>&gt; 0.66 m</t>
  </si>
  <si>
    <t>0.53 bis 0.66 m</t>
  </si>
  <si>
    <t>&lt; 0.53 m</t>
  </si>
  <si>
    <t>&gt; 0.41 m</t>
  </si>
  <si>
    <t>0.33 bis 0.41 m</t>
  </si>
  <si>
    <t>&lt; 0.33 m</t>
  </si>
  <si>
    <t>&gt; 0.53 m</t>
  </si>
  <si>
    <t>0.42 bis 0.53 m</t>
  </si>
  <si>
    <t>&lt; 0.42 m</t>
  </si>
  <si>
    <t>&gt; 0.25 m</t>
  </si>
  <si>
    <t>&gt; 0.33 m</t>
  </si>
  <si>
    <t>0.26 bis 0.33 m</t>
  </si>
  <si>
    <t>&lt; 0.26 m</t>
  </si>
  <si>
    <r>
      <t>&lt; 203 W/m</t>
    </r>
    <r>
      <rPr>
        <vertAlign val="superscript"/>
        <sz val="10"/>
        <rFont val="Arial"/>
        <family val="2"/>
      </rPr>
      <t>3</t>
    </r>
  </si>
  <si>
    <r>
      <t>&gt; 250 W/m</t>
    </r>
    <r>
      <rPr>
        <vertAlign val="superscript"/>
        <sz val="10"/>
        <rFont val="Arial"/>
        <family val="2"/>
      </rPr>
      <t>3</t>
    </r>
  </si>
  <si>
    <r>
      <t>&gt; 225 W/m</t>
    </r>
    <r>
      <rPr>
        <vertAlign val="superscript"/>
        <sz val="10"/>
        <rFont val="Arial"/>
        <family val="2"/>
      </rPr>
      <t>3</t>
    </r>
  </si>
  <si>
    <r>
      <t>&gt; 200 W/m</t>
    </r>
    <r>
      <rPr>
        <vertAlign val="superscript"/>
        <sz val="10"/>
        <rFont val="Arial"/>
        <family val="2"/>
      </rPr>
      <t>3</t>
    </r>
  </si>
  <si>
    <r>
      <t>&gt; 100 W/m</t>
    </r>
    <r>
      <rPr>
        <vertAlign val="superscript"/>
        <sz val="10"/>
        <rFont val="Arial"/>
        <family val="2"/>
      </rPr>
      <t>3</t>
    </r>
  </si>
  <si>
    <t>Im Übergangsbereich zwischen zwei Bautypen werden sämtliche geometrischen und hydraulischen Grenzwerte eingehalten.</t>
  </si>
  <si>
    <t>nein / positiv beeinflusst</t>
  </si>
  <si>
    <t>Tangiert die Variante Waldgebiete?</t>
  </si>
  <si>
    <t>Die FAH befindet sich neben dem Wehr am Prallufer resp. an der Uferseite, an der an mindestens 300 Tagen/Jahr die Hauptströmung liegt.</t>
  </si>
  <si>
    <t>Der Einstieg in die FAH liegt im Bereich des Wanderkorridors bzw. am Rand der Hauptströmung. 
- UND -
Der Einstieg in die FAH liegt so nahe wie möglich am Querbauwerk bzw. am oberen Ende des Suchbereichs (keine Sackgasse). 
- UND -
Der Einstieg in die FAH liegt nicht im Einflussbereich von Kehrwassern.</t>
  </si>
  <si>
    <t>Wenn die Hauptströmung an mehr als 30 Tagen/Jahr über das Wehr abgegeben wird, befindet sich neben dem Wehr eine weitere FAH.
- UND -
Die Einstiege in die FAHs liegen im Bereich des Wanderkorridors bzw. am Rand der Hauptströmung. 
- UND -
Die Einstiege in die FAHs liegen so nahe wie möglich am Querbauwerk bzw. am oberen Ende des Suchbe-reichs (keine Sackgassen).
- UND -
Die Einstiege in die FAHs liegen nicht im Einflussbereich von Kehrwassern.</t>
  </si>
  <si>
    <t>Alle Einstiege sind an die Gewässersohle angebunden.
- ODER -
Sohlanrampungen haben eine Neigung von max. 1:2 (50%) und bestehen aus grobem Substrat.
- UND –
Die Leitströmung ist trotz Anrampung auch für sohlenorientierte Fische auffindbar.
- UND - 
Sohlanrampungen verursachen keine Kehrwasserströmungen.</t>
  </si>
  <si>
    <r>
      <t>Grenzwert: 3 x L</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</si>
  <si>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0.75 x  L</t>
    </r>
    <r>
      <rPr>
        <vertAlign val="subscript"/>
        <sz val="9"/>
        <rFont val="Arial"/>
        <family val="2"/>
      </rPr>
      <t>LB</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</si>
  <si>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2.5 x H</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</si>
  <si>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2 x H</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</si>
  <si>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3 x D</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</si>
  <si>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t>3 bis 6 m</t>
  </si>
  <si>
    <t>6 bis 9 m</t>
  </si>
  <si>
    <t>&gt; 2.81 m</t>
  </si>
  <si>
    <t>2.25 bis 2.81 m</t>
  </si>
  <si>
    <t>&lt; 2.25 m</t>
  </si>
  <si>
    <t>&lt; 1.13 m</t>
  </si>
  <si>
    <t>&gt; 1.41 m</t>
  </si>
  <si>
    <t>1.13 bis 1.41 m</t>
  </si>
  <si>
    <t>&lt; 1.58 m</t>
  </si>
  <si>
    <t>&gt; 1.97 m</t>
  </si>
  <si>
    <t>1.58 bis 1.97 m</t>
  </si>
  <si>
    <t>&gt; 3.75 m</t>
  </si>
  <si>
    <t>3.00 bis 3.75 m</t>
  </si>
  <si>
    <t>&lt; 3.00 m</t>
  </si>
  <si>
    <t>&gt; 1.88 m</t>
  </si>
  <si>
    <t>1.50 bis 1.88 m</t>
  </si>
  <si>
    <t>&lt; 1.50 m</t>
  </si>
  <si>
    <t>&gt; 2.63 m</t>
  </si>
  <si>
    <t>2.10 bis 2.63 m</t>
  </si>
  <si>
    <t>&lt; 2.10 m</t>
  </si>
  <si>
    <r>
      <t>h</t>
    </r>
    <r>
      <rPr>
        <vertAlign val="subscript"/>
        <sz val="10"/>
        <rFont val="Arial"/>
        <family val="2"/>
      </rPr>
      <t>s,min</t>
    </r>
    <r>
      <rPr>
        <sz val="10"/>
        <rFont val="Arial"/>
        <family val="2"/>
      </rPr>
      <t xml:space="preserve"> [m]</t>
    </r>
  </si>
  <si>
    <t>0.20 bis 0.25 m</t>
  </si>
  <si>
    <t>&lt; 0.20 m</t>
  </si>
  <si>
    <t>0.30 bis 0.38</t>
  </si>
  <si>
    <t>&lt; 0.30</t>
  </si>
  <si>
    <t>&gt; 0.30</t>
  </si>
  <si>
    <t>0.24 bis 0.30</t>
  </si>
  <si>
    <t>HYDROLOGIE</t>
  </si>
  <si>
    <t>Hier können bei Bedarf weitere relevante Zielarten aufgeführt werden, die jedoch nicht in die Bewertung einfliessen.
Für die häufigsten Zielarten sind die relativen Höhen und Dicken gemäss DWA (2014) hinterlegt. Für andere Zielarten können die Werte händisch eingetragen werden.</t>
  </si>
  <si>
    <t>Ausleitungskraftwerk ohne Unterwasserkanal oder abgetrennte Restwasserstrecke</t>
  </si>
  <si>
    <t>B2 Walderhaltung</t>
  </si>
  <si>
    <t>Eine Rodungsbewilligung ist nötig. Ihre Erteilung beruht auf einer Interessenabwägung.
Die vom Bau einer FAH betroffene Waldfläche, die ihre Waldfunktion dauerhaft verliert, ist zu minimieren. Naturnahe Bauweisen sind zu priorisieren.</t>
  </si>
  <si>
    <t>Grundsätzlich sind alle Bautypen möglich. Eine Rodungsbewilligung ist nicht nötig.</t>
  </si>
  <si>
    <t>(3a) Funktionskriterien</t>
  </si>
  <si>
    <t>F1 Erreichbarkeit, Auffindbarkeit</t>
  </si>
  <si>
    <t>GESAMTBEWERTUNG FUNKTIONSKRITERIEN</t>
  </si>
  <si>
    <t>EINZELBEWERTUNG FUNKTIONSKRITERIEN</t>
  </si>
  <si>
    <t>Bewertung der Funktionskriterien für alle Varianten. Die automatische Bewertung kann bei Bedarf benutzerdefiniert angepasst werden. Die benutzerdefinierte Bewertung muss begründet werden.</t>
  </si>
  <si>
    <t>F1.1 Grossräumige Anordnung</t>
  </si>
  <si>
    <t>F1.2 Position des Einstiegs</t>
  </si>
  <si>
    <t>F1.3 Mündungswinkel</t>
  </si>
  <si>
    <t>F1.4 Sohlanbindung Unterwasser</t>
  </si>
  <si>
    <t>F1.5 Position Ausstieg</t>
  </si>
  <si>
    <t>Gesamtbewertung F1:</t>
  </si>
  <si>
    <t>F2 Dimensionierung (Passierbarkeit)</t>
  </si>
  <si>
    <r>
      <t>F2.1 Minimale lichte Beckenlänge L</t>
    </r>
    <r>
      <rPr>
        <b/>
        <vertAlign val="subscript"/>
        <sz val="10"/>
        <rFont val="Arial"/>
        <family val="2"/>
      </rPr>
      <t>LB</t>
    </r>
  </si>
  <si>
    <r>
      <t>F2.2 Minimale lichte Beckenbreite b</t>
    </r>
    <r>
      <rPr>
        <b/>
        <vertAlign val="subscript"/>
        <sz val="10"/>
        <rFont val="Arial"/>
        <family val="2"/>
      </rPr>
      <t>LB</t>
    </r>
  </si>
  <si>
    <r>
      <t>F2.3 Minimale Wassertiefe im Wanderkorridor h</t>
    </r>
    <r>
      <rPr>
        <b/>
        <vertAlign val="subscript"/>
        <sz val="10"/>
        <rFont val="Arial"/>
        <family val="2"/>
      </rPr>
      <t>u</t>
    </r>
  </si>
  <si>
    <r>
      <t>F2.4 Minimale Wassertiefe in Engstellen h</t>
    </r>
    <r>
      <rPr>
        <b/>
        <vertAlign val="subscript"/>
        <sz val="10"/>
        <rFont val="Arial"/>
        <family val="2"/>
      </rPr>
      <t>s,min</t>
    </r>
    <r>
      <rPr>
        <b/>
        <sz val="10"/>
        <rFont val="Arial"/>
        <family val="2"/>
      </rPr>
      <t xml:space="preserve"> (z.B Schlitz oder Furt)</t>
    </r>
  </si>
  <si>
    <t>F2.5 Minimale Breite von Durchlässen und Engstellen s</t>
  </si>
  <si>
    <t>Gesamtbewertung F2:</t>
  </si>
  <si>
    <t>F3 Hydraulik (Passierbarkeit)</t>
  </si>
  <si>
    <r>
      <t>F3.2 Minimale mittlere Fliessgeschwindigkeit v</t>
    </r>
    <r>
      <rPr>
        <b/>
        <vertAlign val="subscript"/>
        <sz val="10"/>
        <rFont val="Arial"/>
        <family val="2"/>
      </rPr>
      <t>min</t>
    </r>
  </si>
  <si>
    <r>
      <t>F3.3 Maximale Leistungsdichte P</t>
    </r>
    <r>
      <rPr>
        <b/>
        <vertAlign val="subscript"/>
        <sz val="10"/>
        <rFont val="Arial"/>
        <family val="2"/>
      </rPr>
      <t>v</t>
    </r>
  </si>
  <si>
    <t>F3.4 Leitströmung</t>
  </si>
  <si>
    <t>F3.5 Strömungsmuster und -kontinuität</t>
  </si>
  <si>
    <t>F3.6 Sohlengestaltung</t>
  </si>
  <si>
    <t>F3.7 Bautypenkombination</t>
  </si>
  <si>
    <t>Gesamtbewertung F3:</t>
  </si>
  <si>
    <t>F4: Weiteres (Passierbarkeit)</t>
  </si>
  <si>
    <t>F4.1 Lichtverhältnisse</t>
  </si>
  <si>
    <t>F4.2 Unterhaltsaufwand</t>
  </si>
  <si>
    <t>F4.3 Prädation</t>
  </si>
  <si>
    <t>Gesamtbewertung F4:</t>
  </si>
  <si>
    <t>(3b) Umfeldkritierien</t>
  </si>
  <si>
    <t>GESAMTBEWERTUNG UMFELDKRITERIEN</t>
  </si>
  <si>
    <t>EINZELBEWERTUNG UMFELDKRITERIEN</t>
  </si>
  <si>
    <t>Bewertung der Umfeldkriterien für alle Varianten. Die Bewertung muss begründet werden. Einzelne Kriterien können benutzerdefiniert bewertet werden (analog zu Funktionskriterien).</t>
  </si>
  <si>
    <t>U1.1 Moorschutz</t>
  </si>
  <si>
    <t>U1.2 Auenschutz</t>
  </si>
  <si>
    <t>U1.3 Amphibienschutz</t>
  </si>
  <si>
    <t>U1.4 Naturschutz (Weitere)</t>
  </si>
  <si>
    <t>U1.5 Landschaftsschutz</t>
  </si>
  <si>
    <t>U1.6 Heimatschutz</t>
  </si>
  <si>
    <t>Gesamtbewertung U1:</t>
  </si>
  <si>
    <t>U2 Raumplanung / Umweltschutz / Nutzung</t>
  </si>
  <si>
    <t>U2.1 Walderhaltung</t>
  </si>
  <si>
    <t>U2.2 Kapazität Grundwasserleiter</t>
  </si>
  <si>
    <t>U2.3 Fruchtfolgeflächen</t>
  </si>
  <si>
    <t>U2.4 Wildtierkorridore</t>
  </si>
  <si>
    <t>Gesamtbewertung U2:</t>
  </si>
  <si>
    <t>U3 Koordinationsbedarf</t>
  </si>
  <si>
    <t>U3.1 Hochwasserschutz</t>
  </si>
  <si>
    <t>U3.2 Drittprojekte (SanG, Revitalisierung,…)</t>
  </si>
  <si>
    <t>Gesamtbewertung U3:</t>
  </si>
  <si>
    <t>U4 Ökologie und Nachhaltigkeit</t>
  </si>
  <si>
    <t>U4.1 Beeinflussung des ökologischen Potenzials des Gewässers</t>
  </si>
  <si>
    <t>U4.2 Ersatzlebensraum</t>
  </si>
  <si>
    <t>U4.3 Vernetzung terrestrische Fauna</t>
  </si>
  <si>
    <t>Gesamtbewertung U4:</t>
  </si>
  <si>
    <t>U1 Natur-, Heimat- und Landschaftsschutz</t>
  </si>
  <si>
    <t>FUNKTIONSKRITERIEN</t>
  </si>
  <si>
    <t>UMFELDKRITERIEN</t>
  </si>
  <si>
    <t>Funktionskriterien</t>
  </si>
  <si>
    <t>Umfeldkriterien</t>
  </si>
  <si>
    <r>
      <t xml:space="preserve">Die </t>
    </r>
    <r>
      <rPr>
        <b/>
        <i/>
        <sz val="10"/>
        <rFont val="Arial"/>
        <family val="2"/>
      </rPr>
      <t>grösste</t>
    </r>
    <r>
      <rPr>
        <i/>
        <sz val="10"/>
        <rFont val="Arial"/>
        <family val="2"/>
      </rPr>
      <t xml:space="preserve"> vorkommende Zielart ist massgeblich. Die Angaben fliessen in die Bewertung der Funktionskriterien ein.</t>
    </r>
  </si>
  <si>
    <t>&gt;&gt; 1% der effektiv turbinierten Wassermenge</t>
  </si>
  <si>
    <t>≈ 1% der effektiv turbinierten Wassermenge</t>
  </si>
  <si>
    <t>U4.4 Betonvolumen</t>
  </si>
  <si>
    <t>U4.5 Zuwachs an versiegelter Fläche</t>
  </si>
  <si>
    <t>U4.6 Naherholungswert</t>
  </si>
  <si>
    <t>Der Wanderkorridor wird in beiden Gewässerzweigen fortgesetzt.
- UND -
Eine FAH befindet sich uferseitig neben dem Kraftwerk.
- UND -
In der Restwasserstrecke liegt eine FAH am Prallufer bzw. auf der Uferseite der Hauptströmung.</t>
  </si>
  <si>
    <t>Der Wanderkorridor wird nicht in beiden Gewässerzweigen fortgesetzt.
- UND/ODER -
Es befindet sich keine FAH uferseitig neben dem Kraftwerk.
- UND/ODER -
In der Restwasserstrecke liegt keine FAH am Prallufer bzw. auf der Uferseite der Hauptströmung.</t>
  </si>
  <si>
    <t>Die Restwasserstrecke weist an mindestens 300 Tagen/Jahr einen Wanderkorridor auf.
- UND - 
In der Restwasserstrecke liegt eine FAH am Prallufer bzw. auf der Uferseite der Hauptströmung.
- UND -
Falls ein durch Fische nutzbares Seitengewässer in den Oberwasserkanal mündet, befindet sich uferseitig neben dem Kraftwerk eine weitere FAH.</t>
  </si>
  <si>
    <t>Die Restwasserstrecke weist an weniger als 300 Tagen/Jahr einen Wanderkorridor auf.
- UND/ODER -
In der Restwasserstrecke liegt keine FAH am Prallufer bzw. auf der Uferseite der Hauptströmung.
- UND/ODER -
Neben dem Kraftwerk befindet sich keine weitere FAH, obwohl ein durch Fische nutzbares Seitengewässer in den Oberwasserkanal mündet.</t>
  </si>
  <si>
    <t xml:space="preserve">Der Wanderkorridor wird in beiden Gewässerzweigen fortgesetzt. Alternativ wird die Mauer durchgängig gestaltet.
- UND -
Eine FAH befindet sich uferseitig neben dem Kraftwerk. </t>
  </si>
  <si>
    <t>Der Wanderkorridor wird nicht in beiden Gewässerzweigen fortgesetzt resp. die Mauer ist nicht durchgängig.
- UND/ODER -
Es befindet sich keine FAH uferseitig neben dem Kraftwerk.</t>
  </si>
  <si>
    <t xml:space="preserve">Eine FAH befindet sich uferseitig neben dem Kraftwerk. </t>
  </si>
  <si>
    <t>Es befindet sich keine FAH uferseitig neben dem Kraftwerk.</t>
  </si>
  <si>
    <t>Es befindet sich keine FAH uferseitig am Prallufer bzw. auf der Uferseite der Hauptströmung.</t>
  </si>
  <si>
    <t>Neben dem Wehr befindet sich keine weitere FAH, obwohl die Hauptströmung an 30 Tagen/Jahr über das Wehr abgegeben wird.
- UND/ODER -
Die Einstiege einer oder mehrerer FAHs liegen nicht im Bereich des Wanderkorridors bzw. nicht im Bereich der Hauptströmung. 
- UND/ODER -
Die Einstiege einer oder mehrerer FAHs liegen in deutlicher Entfernung vom Querbauwerk bzw. oberen Ende des Suchbereichs (Sackgasse).
- UND/ODER -
Die Einstiege einer oder mehrerer FAH liegen im Einflussbereich von Kehrwassern.</t>
  </si>
  <si>
    <t>Der Einstieg in die FAH liegt nicht im Bereich des Wanderkorridors bzw. nicht im Bereich der Hauptströmung. 
- UND/ODER -
Der Einstieg in die FAH liegt in deutlicher Entfernung vom Querbauwerk bzw. oberen Ende des Suchbereichs (Sackgasse). 
- UND/ODER -
Der Einstieg in die FAH liegt im Einflussbereich von Kehrwassern.</t>
  </si>
  <si>
    <t>schlecht</t>
  </si>
  <si>
    <t>Die Einstiege reichen nicht bis an die Gewässersohle und Sohlanrampungen fehlen.
- ODER -
Sohlanrampungen haben eine Neigung über 1:2 (&gt;50%).
- UND/ODER -
Sohlanrampungen bestehen aus glattem Substrat.
- UND/ODER -
Zu hohe Sohlanrampungen verhindern die Ausbildung einer sohlennahen Leitströmung.
- UND/ODER -
Sohlenanrampungen verursachen starke Kehrwasserströmungen.</t>
  </si>
  <si>
    <t>Aufgrund der Auswahl des Bautypen und den betrieblichen Bedigungen werden für jede Varianten die Sicherheitsbeiwerte gemäss DWA (2014) ermittelt. Diese fliessen in die Bewertung gewisser Funktionskriterien ein.</t>
  </si>
  <si>
    <t>Mäanderfischpass</t>
  </si>
  <si>
    <r>
      <t>Q</t>
    </r>
    <r>
      <rPr>
        <b/>
        <vertAlign val="subscript"/>
        <sz val="10"/>
        <rFont val="Arial"/>
        <family val="2"/>
      </rPr>
      <t>330</t>
    </r>
    <r>
      <rPr>
        <b/>
        <sz val="10"/>
        <rFont val="Arial"/>
        <family val="2"/>
      </rPr>
      <t xml:space="preserve"> [m</t>
    </r>
    <r>
      <rPr>
        <b/>
        <vertAlign val="superscript"/>
        <sz val="10"/>
        <rFont val="Arial"/>
        <family val="2"/>
      </rPr>
      <t>3</t>
    </r>
    <r>
      <rPr>
        <b/>
        <sz val="10"/>
        <rFont val="Arial"/>
        <family val="2"/>
      </rPr>
      <t xml:space="preserve">/s]: </t>
    </r>
    <r>
      <rPr>
        <i/>
        <sz val="10"/>
        <rFont val="Arial"/>
        <family val="2"/>
      </rPr>
      <t>(an 330 Tagen/Jahr erreichtes oder überschrittenes Q)</t>
    </r>
  </si>
  <si>
    <r>
      <t>Q</t>
    </r>
    <r>
      <rPr>
        <b/>
        <vertAlign val="subscript"/>
        <sz val="10"/>
        <rFont val="Arial"/>
        <family val="2"/>
      </rPr>
      <t>30</t>
    </r>
    <r>
      <rPr>
        <b/>
        <sz val="10"/>
        <rFont val="Arial"/>
        <family val="2"/>
      </rPr>
      <t xml:space="preserve"> [m</t>
    </r>
    <r>
      <rPr>
        <b/>
        <vertAlign val="superscript"/>
        <sz val="10"/>
        <rFont val="Arial"/>
        <family val="2"/>
      </rPr>
      <t>3</t>
    </r>
    <r>
      <rPr>
        <b/>
        <sz val="10"/>
        <rFont val="Arial"/>
        <family val="2"/>
      </rPr>
      <t xml:space="preserve">/s]: </t>
    </r>
    <r>
      <rPr>
        <i/>
        <sz val="10"/>
        <rFont val="Arial"/>
        <family val="2"/>
      </rPr>
      <t>(an 30 Tagen/Jahr erreichtes oder überschrittenes Q)</t>
    </r>
  </si>
  <si>
    <r>
      <t>Referenzlänge L</t>
    </r>
    <r>
      <rPr>
        <vertAlign val="subscript"/>
        <sz val="10"/>
        <rFont val="Arial"/>
        <family val="2"/>
      </rPr>
      <t>Fisch</t>
    </r>
    <r>
      <rPr>
        <sz val="10"/>
        <rFont val="Arial"/>
        <family val="2"/>
      </rPr>
      <t xml:space="preserve"> [m]:</t>
    </r>
  </si>
  <si>
    <r>
      <t>Fischhöhe H</t>
    </r>
    <r>
      <rPr>
        <vertAlign val="subscript"/>
        <sz val="10"/>
        <rFont val="Arial"/>
        <family val="2"/>
      </rPr>
      <t>Fisch</t>
    </r>
    <r>
      <rPr>
        <sz val="10"/>
        <rFont val="Arial"/>
        <family val="2"/>
      </rPr>
      <t xml:space="preserve"> [m]:</t>
    </r>
  </si>
  <si>
    <r>
      <t>Fischdicke D</t>
    </r>
    <r>
      <rPr>
        <vertAlign val="subscript"/>
        <sz val="10"/>
        <rFont val="Arial"/>
        <family val="2"/>
      </rPr>
      <t>Fisch</t>
    </r>
    <r>
      <rPr>
        <sz val="10"/>
        <rFont val="Arial"/>
        <family val="2"/>
      </rPr>
      <t xml:space="preserve"> [m]:</t>
    </r>
  </si>
  <si>
    <r>
      <t>Referenzlänge L</t>
    </r>
    <r>
      <rPr>
        <vertAlign val="subscript"/>
        <sz val="10"/>
        <color theme="0" tint="-0.14999847407452621"/>
        <rFont val="Arial"/>
        <family val="2"/>
      </rPr>
      <t>Fisch</t>
    </r>
    <r>
      <rPr>
        <sz val="10"/>
        <color theme="0" tint="-0.14999847407452621"/>
        <rFont val="Arial"/>
        <family val="2"/>
      </rPr>
      <t xml:space="preserve"> [m] (optional):</t>
    </r>
  </si>
  <si>
    <r>
      <t>Fischhöhe H</t>
    </r>
    <r>
      <rPr>
        <vertAlign val="subscript"/>
        <sz val="10"/>
        <color theme="0" tint="-0.14999847407452621"/>
        <rFont val="Arial"/>
        <family val="2"/>
      </rPr>
      <t>Fisch</t>
    </r>
    <r>
      <rPr>
        <sz val="10"/>
        <color theme="0" tint="-0.14999847407452621"/>
        <rFont val="Arial"/>
        <family val="2"/>
      </rPr>
      <t xml:space="preserve"> [m]:</t>
    </r>
  </si>
  <si>
    <r>
      <t>Fischdicke D</t>
    </r>
    <r>
      <rPr>
        <vertAlign val="subscript"/>
        <sz val="10"/>
        <color theme="0" tint="-0.14999847407452621"/>
        <rFont val="Arial"/>
        <family val="2"/>
      </rPr>
      <t>Fisch</t>
    </r>
    <r>
      <rPr>
        <sz val="10"/>
        <color theme="0" tint="-0.14999847407452621"/>
        <rFont val="Arial"/>
        <family val="2"/>
      </rPr>
      <t xml:space="preserve"> [m]:</t>
    </r>
  </si>
  <si>
    <t>kleine Öffnungen, 
grosse Wartungsintervalle</t>
  </si>
  <si>
    <t>F2.7 Dotation</t>
  </si>
  <si>
    <r>
      <t>F2.6 Minimale Breite des Wanderkorridors b</t>
    </r>
    <r>
      <rPr>
        <b/>
        <vertAlign val="subscript"/>
        <sz val="10"/>
        <rFont val="Arial"/>
        <family val="2"/>
      </rPr>
      <t>wk</t>
    </r>
  </si>
  <si>
    <r>
      <t>Grenzwert: 6 x D</t>
    </r>
    <r>
      <rPr>
        <vertAlign val="subscript"/>
        <sz val="9"/>
        <rFont val="Arial"/>
        <family val="2"/>
      </rPr>
      <t>Fisch</t>
    </r>
    <r>
      <rPr>
        <sz val="9"/>
        <rFont val="Arial"/>
        <family val="2"/>
      </rPr>
      <t xml:space="preserve"> bzw. 9 x D</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</si>
  <si>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t>&gt; Bemessungswert</t>
  </si>
  <si>
    <t>Grenzwert bis Bemessungswert</t>
  </si>
  <si>
    <t>&lt; Grenzwert</t>
  </si>
  <si>
    <t>Gesamtlänge Engstelle &lt; 2 m</t>
  </si>
  <si>
    <t>Gesamtlänge Engstelle ≥ 2 m</t>
  </si>
  <si>
    <t>V3</t>
  </si>
  <si>
    <t>&gt; 0.75</t>
  </si>
  <si>
    <t>&gt; 0.60</t>
  </si>
  <si>
    <t>0.60 bis 0.75</t>
  </si>
  <si>
    <t>0.48 bis 0.60</t>
  </si>
  <si>
    <t>&lt; 0.60</t>
  </si>
  <si>
    <t>&lt; 0.48</t>
  </si>
  <si>
    <t>&gt; 1.13</t>
  </si>
  <si>
    <t>&gt; 0.56</t>
  </si>
  <si>
    <t>&gt; 0.90</t>
  </si>
  <si>
    <t>0.90 bis 1.13</t>
  </si>
  <si>
    <t>0.45 bis 0.56</t>
  </si>
  <si>
    <t>0.72 bis 0.90</t>
  </si>
  <si>
    <t>&lt; 0.90</t>
  </si>
  <si>
    <t>&lt; 0.45</t>
  </si>
  <si>
    <t>&lt; 0.72</t>
  </si>
  <si>
    <t>&lt;&lt; 1% der effektiv turbinierten Wassermenge</t>
  </si>
  <si>
    <t>Gesamtdotationsmenge (Mindestdotation FAH und ggf. Zudotation zur Erhöhung der Leitströmung); über alle Einstiege verteilt, nicht pro Einstieg</t>
  </si>
  <si>
    <r>
      <t>Ausbauabfluss [m</t>
    </r>
    <r>
      <rPr>
        <b/>
        <vertAlign val="superscript"/>
        <sz val="10"/>
        <rFont val="Arial"/>
        <family val="2"/>
      </rPr>
      <t>3</t>
    </r>
    <r>
      <rPr>
        <b/>
        <sz val="10"/>
        <rFont val="Arial"/>
        <family val="2"/>
      </rPr>
      <t>/s]:</t>
    </r>
  </si>
  <si>
    <t>Gesamtlänge</t>
  </si>
  <si>
    <t>&lt; 5 m</t>
  </si>
  <si>
    <t xml:space="preserve"> Gesamtlänge
&lt; 5 m</t>
  </si>
  <si>
    <t>Gesamtlänge 
5 bis 10 m</t>
  </si>
  <si>
    <t>Gesamtlänge
&gt; 10 m</t>
  </si>
  <si>
    <t>Gesamthöhenunter-schied &lt; 3 m</t>
  </si>
  <si>
    <t>Gesamthöhenunter-schied 3 bis 6 m</t>
  </si>
  <si>
    <t>Gesamthöhenunter-schied 6 bis 9 m</t>
  </si>
  <si>
    <t>Gesamthöhenunter-schied &gt; 9 m</t>
  </si>
  <si>
    <r>
      <t>Für beckenartige Bauformen
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</si>
  <si>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r>
      <t>Gerinneartige Bauformen (mit oder ohne Störsteine)
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</si>
  <si>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r>
      <t>v</t>
    </r>
    <r>
      <rPr>
        <vertAlign val="subscript"/>
        <sz val="10"/>
        <rFont val="Arial"/>
        <family val="2"/>
      </rPr>
      <t>m</t>
    </r>
    <r>
      <rPr>
        <sz val="10"/>
        <rFont val="Arial"/>
        <family val="2"/>
      </rPr>
      <t xml:space="preserve"> [m/s]</t>
    </r>
  </si>
  <si>
    <r>
      <t>F3.1b Mittlere Fliessgeschwindigkeit v</t>
    </r>
    <r>
      <rPr>
        <b/>
        <vertAlign val="subscript"/>
        <sz val="10"/>
        <rFont val="Arial"/>
        <family val="2"/>
      </rPr>
      <t>m</t>
    </r>
  </si>
  <si>
    <r>
      <t>F3.1a Maximale Fliessgeschwindigkeit v</t>
    </r>
    <r>
      <rPr>
        <b/>
        <vertAlign val="subscript"/>
        <sz val="10"/>
        <rFont val="Arial"/>
        <family val="2"/>
      </rPr>
      <t>max</t>
    </r>
    <r>
      <rPr>
        <b/>
        <sz val="10"/>
        <rFont val="Arial"/>
        <family val="2"/>
      </rPr>
      <t xml:space="preserve"> / Maximale Wasserspiegeldifferenz Δh</t>
    </r>
  </si>
  <si>
    <t>5 m bis 10 m</t>
  </si>
  <si>
    <t>Gerinneartige Fischaufstiegsanlagen:</t>
  </si>
  <si>
    <t>Raugerinne in Störsteinbauweise:</t>
  </si>
  <si>
    <t>Wirkt die Variante als Ersatzlebensraum?</t>
  </si>
  <si>
    <r>
      <t>Wie viele m</t>
    </r>
    <r>
      <rPr>
        <vertAlign val="superscript"/>
        <sz val="10"/>
        <rFont val="Arial"/>
        <family val="2"/>
      </rPr>
      <t>2</t>
    </r>
    <r>
      <rPr>
        <sz val="10"/>
        <rFont val="Arial"/>
        <family val="2"/>
      </rPr>
      <t xml:space="preserve"> Fläche werden durch die Variante neu versiegelt? (Referenz: Versiegelte Fläche bei Maximalvariante = 100%)</t>
    </r>
  </si>
  <si>
    <r>
      <t>Wie viel m</t>
    </r>
    <r>
      <rPr>
        <vertAlign val="superscript"/>
        <sz val="10"/>
        <rFont val="Arial"/>
        <family val="2"/>
      </rPr>
      <t>3</t>
    </r>
    <r>
      <rPr>
        <sz val="10"/>
        <rFont val="Arial"/>
        <family val="2"/>
      </rPr>
      <t xml:space="preserve"> Betonvolumen benötigt die Variante? (Referenz: Betonvolumen bei Maximalvariante = 100%)</t>
    </r>
  </si>
  <si>
    <t>Mäanderfischpass rechts</t>
  </si>
  <si>
    <t>Die Leitströmung ist über die gesamte Tiefe des Einstiegs wirksam und möglichst gleichförmig. Die Fliessgeschwindigkeit am Einstieg entspricht der Fliessgeschwindigkeit in den Engstellen und wird auch bei Pegelschwankungen im Unterwasser weitgehend konstant gehalten.</t>
  </si>
  <si>
    <t>In der FAH herrscht völlige Dunkelheit oder es treten abrupte Helligkeitswechsel auf.</t>
  </si>
  <si>
    <r>
      <t>225 bis 250 W/m</t>
    </r>
    <r>
      <rPr>
        <vertAlign val="superscript"/>
        <sz val="10"/>
        <rFont val="Arial"/>
        <family val="2"/>
      </rPr>
      <t>3</t>
    </r>
  </si>
  <si>
    <r>
      <t>&lt; 225 W/m</t>
    </r>
    <r>
      <rPr>
        <vertAlign val="superscript"/>
        <sz val="10"/>
        <rFont val="Arial"/>
        <family val="2"/>
      </rPr>
      <t>3</t>
    </r>
  </si>
  <si>
    <r>
      <t>203 bis 225 W/m</t>
    </r>
    <r>
      <rPr>
        <vertAlign val="superscript"/>
        <sz val="10"/>
        <rFont val="Arial"/>
        <family val="2"/>
      </rPr>
      <t>3</t>
    </r>
  </si>
  <si>
    <r>
      <t>180 bis 200 W/m</t>
    </r>
    <r>
      <rPr>
        <vertAlign val="superscript"/>
        <sz val="10"/>
        <rFont val="Arial"/>
        <family val="2"/>
      </rPr>
      <t>3</t>
    </r>
  </si>
  <si>
    <r>
      <t>&lt; 180 W/m</t>
    </r>
    <r>
      <rPr>
        <vertAlign val="superscript"/>
        <sz val="10"/>
        <rFont val="Arial"/>
        <family val="2"/>
      </rPr>
      <t>3</t>
    </r>
  </si>
  <si>
    <r>
      <t>90 bis 100 W/m</t>
    </r>
    <r>
      <rPr>
        <vertAlign val="superscript"/>
        <sz val="10"/>
        <rFont val="Arial"/>
        <family val="2"/>
      </rPr>
      <t>3</t>
    </r>
  </si>
  <si>
    <r>
      <t>&lt; 90 W/m</t>
    </r>
    <r>
      <rPr>
        <vertAlign val="superscript"/>
        <sz val="10"/>
        <rFont val="Arial"/>
        <family val="2"/>
      </rPr>
      <t>3</t>
    </r>
  </si>
  <si>
    <r>
      <t>&gt; 300 W/m</t>
    </r>
    <r>
      <rPr>
        <vertAlign val="superscript"/>
        <sz val="10"/>
        <rFont val="Arial"/>
        <family val="2"/>
      </rPr>
      <t>3</t>
    </r>
  </si>
  <si>
    <r>
      <t>270 bis 300 W/m</t>
    </r>
    <r>
      <rPr>
        <vertAlign val="superscript"/>
        <sz val="10"/>
        <rFont val="Arial"/>
        <family val="2"/>
      </rPr>
      <t>3</t>
    </r>
  </si>
  <si>
    <r>
      <t>&lt; 270 W/m</t>
    </r>
    <r>
      <rPr>
        <vertAlign val="superscript"/>
        <sz val="10"/>
        <rFont val="Arial"/>
        <family val="2"/>
      </rPr>
      <t>3</t>
    </r>
  </si>
  <si>
    <r>
      <t>&gt; 275 W/m</t>
    </r>
    <r>
      <rPr>
        <vertAlign val="superscript"/>
        <sz val="10"/>
        <rFont val="Arial"/>
        <family val="2"/>
      </rPr>
      <t>3</t>
    </r>
  </si>
  <si>
    <r>
      <t>248 bis 275 W/m</t>
    </r>
    <r>
      <rPr>
        <vertAlign val="superscript"/>
        <sz val="10"/>
        <rFont val="Arial"/>
        <family val="2"/>
      </rPr>
      <t>3</t>
    </r>
  </si>
  <si>
    <r>
      <t>&lt; 248 W/m</t>
    </r>
    <r>
      <rPr>
        <vertAlign val="superscript"/>
        <sz val="10"/>
        <rFont val="Arial"/>
        <family val="2"/>
      </rPr>
      <t>3</t>
    </r>
  </si>
  <si>
    <t>Waldflächen</t>
  </si>
  <si>
    <t>Die neue(n) FAH(s) erreichen folgende Ziele:</t>
  </si>
  <si>
    <t>Mindestens ein Einstieg reicht bis fast an die Gewässersohle herunter (ohne Anrampung).
- ODER -
Sohlanrampungen haben eine Neigung von max. 1:2 (50%) und bestehen aus mehrheitlich grobem Substrat.
- UND -
Die Leitströmung ist trotz Anrampung auch für sohlenorientierte Fische auffindbar.
- UND -
Sohlanrampungen verursachen keine oder schwache Kehrwasserströmungen.</t>
  </si>
  <si>
    <t>Empfehlung:</t>
  </si>
  <si>
    <t>keine Richtungswechsel</t>
  </si>
  <si>
    <t>1 bis 3 Richtungswechsel</t>
  </si>
  <si>
    <t>&gt; 3 Richtungswechsel</t>
  </si>
  <si>
    <t>ausreichend, da Zielfischlänge grosszügig gewählt</t>
  </si>
  <si>
    <t>Gesamtkosten (exkl. MWST, ±25%)</t>
  </si>
  <si>
    <t>Gesamtkosten (inkl. MWST, ±25%)</t>
  </si>
  <si>
    <t>(0) Impressum</t>
  </si>
  <si>
    <t>Auftraggeber</t>
  </si>
  <si>
    <t>Kanton Aargau</t>
  </si>
  <si>
    <t>Departement Bau, Verkehr und Umwelt</t>
  </si>
  <si>
    <t>Entfelderstrasse 22</t>
  </si>
  <si>
    <t>5001 Aarau</t>
  </si>
  <si>
    <t>Susette Burger, Leiterin Sektion Gewässernutzung</t>
  </si>
  <si>
    <t>Auftragnehmer</t>
  </si>
  <si>
    <t>IUB Engineering AG</t>
  </si>
  <si>
    <t>Fischwerk GmbH</t>
  </si>
  <si>
    <t>Version</t>
  </si>
  <si>
    <t>v1.0</t>
  </si>
  <si>
    <t>Datum</t>
  </si>
  <si>
    <t>(0) Übersicht</t>
  </si>
  <si>
    <r>
      <t xml:space="preserve">Für detaillierte Erläuterungen zum Bewertungstool wird auf den </t>
    </r>
    <r>
      <rPr>
        <b/>
        <sz val="10"/>
        <rFont val="Arial"/>
        <family val="2"/>
      </rPr>
      <t>Begleitbericht</t>
    </r>
    <r>
      <rPr>
        <sz val="10"/>
        <rFont val="Arial"/>
        <family val="2"/>
      </rPr>
      <t xml:space="preserve"> verwiesen.</t>
    </r>
  </si>
  <si>
    <t>&lt; 50 m</t>
  </si>
  <si>
    <t>Systemskizze nach DWA 2014 (mod.) und M. Mende, aus BAFU (2022)</t>
  </si>
  <si>
    <r>
      <t xml:space="preserve">Mäanderfischpass 
</t>
    </r>
    <r>
      <rPr>
        <sz val="10"/>
        <rFont val="Arial"/>
        <family val="2"/>
      </rPr>
      <t>(auch bekannt als Rundbeckenpass)</t>
    </r>
  </si>
  <si>
    <r>
      <t xml:space="preserve">Naturnaher Schlitzpass
</t>
    </r>
    <r>
      <rPr>
        <sz val="10"/>
        <rFont val="Arial"/>
        <family val="2"/>
      </rPr>
      <t>(auch bekannt als Technischer Beckenpass)</t>
    </r>
  </si>
  <si>
    <r>
      <rPr>
        <b/>
        <sz val="10"/>
        <rFont val="Arial"/>
        <family val="2"/>
      </rPr>
      <t>Rampen und Teilrampen</t>
    </r>
    <r>
      <rPr>
        <sz val="10"/>
        <rFont val="Arial"/>
        <family val="2"/>
      </rPr>
      <t xml:space="preserve"> 
(Strukturierte Rampen mit Beckenstruktur, unstrukturierte Rampen)</t>
    </r>
  </si>
  <si>
    <t>Systemskizze nach www.maba-fischpass.com (mod.) und A. Peter, aus BAFU (2022)</t>
  </si>
  <si>
    <t>Peters Ökofisch GmbH &amp; Co. KG, aus Mende et al. (2019)</t>
  </si>
  <si>
    <t>flusslauf e.U.</t>
  </si>
  <si>
    <t>V. Neuhaus, aus BAFU (2022)</t>
  </si>
  <si>
    <t>Mühlbauer et al. (2020)</t>
  </si>
  <si>
    <t>A. Peter, aus BAFU (2022)</t>
  </si>
  <si>
    <t>Begründung</t>
  </si>
  <si>
    <t>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</si>
</sst>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0" x14ac:knownFonts="1">
    <font>
      <sz val="10"/>
      <name val="Arial"/>
    </font>
    <font>
      <sz val="8"/>
      <name val="Arial"/>
      <family val="2"/>
    </font>
    <font>
      <sz val="10"/>
      <name val="Arial"/>
      <family val="2"/>
    </font>
    <font>
      <vertAlign val="subscript"/>
      <sz val="10"/>
      <name val="Arial"/>
      <family val="2"/>
    </font>
    <font>
      <vertAlign val="superscript"/>
      <sz val="10"/>
      <name val="Arial"/>
      <family val="2"/>
    </font>
    <font>
      <b/>
      <sz val="10"/>
      <name val="Arial"/>
      <family val="2"/>
    </font>
    <font>
      <b/>
      <vertAlign val="subscript"/>
      <sz val="10"/>
      <name val="Arial"/>
      <family val="2"/>
    </font>
    <font>
      <sz val="10"/>
      <color rgb="FFFF0000"/>
      <name val="Arial"/>
      <family val="2"/>
    </font>
    <font>
      <b/>
      <sz val="16"/>
      <name val="Arial"/>
      <family val="2"/>
    </font>
    <font>
      <sz val="10"/>
      <color theme="0"/>
      <name val="Arial"/>
      <family val="2"/>
    </font>
    <font>
      <sz val="10"/>
      <color rgb="FFC00000"/>
      <name val="Arial"/>
      <family val="2"/>
    </font>
    <font>
      <b/>
      <sz val="10"/>
      <color theme="0"/>
      <name val="Arial"/>
      <family val="2"/>
    </font>
    <font>
      <sz val="9"/>
      <name val="Arial"/>
      <family val="2"/>
    </font>
    <font>
      <sz val="16"/>
      <color rgb="FFC00000"/>
      <name val="Arial"/>
      <family val="2"/>
    </font>
    <font>
      <sz val="11"/>
      <color rgb="FFC00000"/>
      <name val="Arial"/>
      <family val="2"/>
    </font>
    <font>
      <vertAlign val="subscript"/>
      <sz val="9"/>
      <name val="Arial"/>
      <family val="2"/>
    </font>
    <font>
      <sz val="10"/>
      <color theme="0" tint="-4.9989318521683403E-2"/>
      <name val="Arial"/>
      <family val="2"/>
    </font>
    <font>
      <i/>
      <sz val="10"/>
      <name val="Arial"/>
      <family val="2"/>
    </font>
    <font>
      <b/>
      <vertAlign val="superscript"/>
      <sz val="10"/>
      <name val="Arial"/>
      <family val="2"/>
    </font>
    <font>
      <sz val="10"/>
      <color theme="0" tint="-0.14999847407452621"/>
      <name val="Arial"/>
      <family val="2"/>
    </font>
    <font>
      <b/>
      <sz val="10"/>
      <color rgb="FFFF0000"/>
      <name val="Arial"/>
      <family val="2"/>
    </font>
    <font>
      <b/>
      <sz val="10"/>
      <color theme="0" tint="-0.14999847407452621"/>
      <name val="Arial"/>
      <family val="2"/>
    </font>
    <font>
      <vertAlign val="subscript"/>
      <sz val="10"/>
      <color theme="0" tint="-0.14999847407452621"/>
      <name val="Arial"/>
      <family val="2"/>
    </font>
    <font>
      <sz val="10"/>
      <name val="Univers"/>
      <family val="2"/>
    </font>
    <font>
      <b/>
      <sz val="9"/>
      <name val="Arial"/>
      <family val="2"/>
    </font>
    <font>
      <b/>
      <sz val="11"/>
      <name val="Arial"/>
      <family val="2"/>
    </font>
    <font>
      <b/>
      <i/>
      <sz val="10"/>
      <name val="Arial"/>
      <family val="2"/>
    </font>
    <font>
      <i/>
      <sz val="8.5"/>
      <name val="Arial"/>
      <family val="2"/>
    </font>
    <font>
      <sz val="10"/>
      <color theme="9" tint="-0.249977111117893"/>
      <name val="Arial"/>
      <family val="2"/>
    </font>
    <font>
      <sz val="6.5"/>
      <name val="Arial"/>
      <family val="2"/>
    </font>
  </fonts>
  <fills count="21">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BCDAC0"/>
        <bgColor indexed="64"/>
      </patternFill>
    </fill>
    <fill>
      <patternFill patternType="solid">
        <fgColor theme="0"/>
        <bgColor indexed="64"/>
      </patternFill>
    </fill>
    <fill>
      <patternFill patternType="solid">
        <fgColor theme="1"/>
        <bgColor indexed="64"/>
      </patternFill>
    </fill>
    <fill>
      <patternFill patternType="solid">
        <fgColor rgb="FFBF6A60"/>
        <bgColor indexed="64"/>
      </patternFill>
    </fill>
    <fill>
      <patternFill patternType="solid">
        <fgColor rgb="FF598064"/>
        <bgColor indexed="64"/>
      </patternFill>
    </fill>
    <fill>
      <patternFill patternType="solid">
        <fgColor rgb="FFFFC680"/>
        <bgColor indexed="64"/>
      </patternFill>
    </fill>
    <fill>
      <patternFill patternType="solid">
        <fgColor rgb="FF6085BF"/>
        <bgColor indexed="64"/>
      </patternFill>
    </fill>
    <fill>
      <patternFill patternType="solid">
        <fgColor rgb="FF395A8F"/>
        <bgColor indexed="64"/>
      </patternFill>
    </fill>
    <fill>
      <patternFill patternType="solid">
        <fgColor rgb="FFABBEDD"/>
        <bgColor indexed="64"/>
      </patternFill>
    </fill>
    <fill>
      <patternFill patternType="solid">
        <fgColor rgb="FFD09D98"/>
        <bgColor indexed="64"/>
      </patternFill>
    </fill>
    <fill>
      <patternFill patternType="solid">
        <fgColor rgb="FFE9D1C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356">
    <xf numFmtId="0" fontId="0" fillId="0" borderId="0" xfId="0"/>
    <xf numFmtId="0" fontId="0" fillId="0" borderId="0" xfId="0" applyAlignment="1">
      <alignment horizontal="center" vertical="center" wrapText="1"/>
    </xf>
    <xf numFmtId="0" fontId="5" fillId="0" borderId="0" xfId="0" applyFont="1" applyAlignment="1">
      <alignment vertical="center" wrapText="1"/>
    </xf>
    <xf numFmtId="0" fontId="2" fillId="0" borderId="0" xfId="0" applyFont="1" applyAlignment="1">
      <alignment horizontal="center" vertical="center" wrapText="1"/>
    </xf>
    <xf numFmtId="0" fontId="5" fillId="0" borderId="0" xfId="0" applyFont="1" applyAlignment="1">
      <alignment horizontal="center" vertical="center" wrapText="1"/>
    </xf>
    <xf numFmtId="0" fontId="0" fillId="0" borderId="0" xfId="0" applyAlignment="1">
      <alignment vertical="center" wrapText="1"/>
    </xf>
    <xf numFmtId="0" fontId="2" fillId="0" borderId="0" xfId="0" applyFont="1" applyAlignment="1">
      <alignment vertical="center" wrapText="1"/>
    </xf>
    <xf numFmtId="0" fontId="0" fillId="0" borderId="0" xfId="0" applyAlignment="1">
      <alignment horizontal="left" vertical="center" wrapText="1"/>
    </xf>
    <xf numFmtId="0" fontId="0" fillId="0" borderId="0" xfId="0" applyAlignment="1">
      <alignment vertical="center"/>
    </xf>
    <xf numFmtId="0" fontId="2" fillId="0" borderId="0" xfId="0" applyFont="1" applyAlignment="1">
      <alignment horizontal="left" vertical="center" wrapText="1"/>
    </xf>
    <xf numFmtId="0" fontId="5" fillId="0" borderId="0" xfId="0" applyFont="1" applyAlignment="1">
      <alignment horizontal="left" vertical="center" wrapText="1"/>
    </xf>
    <xf numFmtId="9" fontId="2" fillId="0" borderId="0" xfId="0" applyNumberFormat="1" applyFont="1" applyAlignment="1">
      <alignment horizontal="left" vertical="center" wrapText="1"/>
    </xf>
    <xf numFmtId="0" fontId="7" fillId="0" borderId="0" xfId="0" applyFont="1" applyAlignment="1">
      <alignment vertical="center" wrapText="1"/>
    </xf>
    <xf numFmtId="0" fontId="2" fillId="0" borderId="0" xfId="0" applyFont="1" applyAlignment="1">
      <alignment horizontal="right" vertical="center" wrapText="1"/>
    </xf>
    <xf numFmtId="0" fontId="8" fillId="0" borderId="0" xfId="0" applyFont="1" applyAlignment="1">
      <alignment horizontal="left" vertical="center" wrapText="1"/>
    </xf>
    <xf numFmtId="0" fontId="2" fillId="6" borderId="1" xfId="0" applyFont="1" applyFill="1" applyBorder="1" applyAlignment="1">
      <alignment horizontal="center" vertical="center" wrapText="1"/>
    </xf>
    <xf numFmtId="0" fontId="0" fillId="0" borderId="0" xfId="0" applyAlignment="1">
      <alignment horizontal="center" vertical="center"/>
    </xf>
    <xf numFmtId="0" fontId="5" fillId="6" borderId="0" xfId="0" applyFont="1" applyFill="1" applyAlignment="1">
      <alignment horizontal="center" vertical="center" wrapText="1"/>
    </xf>
    <xf numFmtId="0" fontId="0" fillId="6" borderId="0" xfId="0" applyFill="1" applyAlignment="1">
      <alignment horizontal="center" vertical="center" wrapText="1"/>
    </xf>
    <xf numFmtId="0" fontId="10" fillId="0" borderId="0" xfId="0" applyFont="1" applyAlignment="1">
      <alignment horizontal="left" vertical="center" wrapText="1"/>
    </xf>
    <xf numFmtId="0" fontId="2" fillId="6" borderId="0" xfId="0" applyFont="1" applyFill="1" applyAlignment="1">
      <alignment horizontal="center" vertical="center" wrapText="1"/>
    </xf>
    <xf numFmtId="0" fontId="5" fillId="2" borderId="0" xfId="0" applyFont="1" applyFill="1" applyAlignment="1">
      <alignment horizontal="left" vertical="center" wrapText="1"/>
    </xf>
    <xf numFmtId="0" fontId="0" fillId="2" borderId="1" xfId="0"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5" fillId="6" borderId="0" xfId="0" applyFont="1" applyFill="1" applyAlignment="1">
      <alignment vertical="center" wrapText="1"/>
    </xf>
    <xf numFmtId="0" fontId="2" fillId="6" borderId="0" xfId="0" applyFont="1" applyFill="1" applyAlignment="1">
      <alignment vertical="center" wrapText="1"/>
    </xf>
    <xf numFmtId="0" fontId="0" fillId="6" borderId="0" xfId="0" applyFill="1" applyAlignment="1">
      <alignment vertical="center" wrapText="1"/>
    </xf>
    <xf numFmtId="0" fontId="0" fillId="2" borderId="0" xfId="0" applyFill="1" applyAlignment="1">
      <alignment vertical="center" wrapText="1"/>
    </xf>
    <xf numFmtId="0" fontId="0" fillId="3" borderId="1" xfId="0" applyFill="1" applyBorder="1" applyAlignment="1">
      <alignment vertical="center" wrapText="1"/>
    </xf>
    <xf numFmtId="0" fontId="0" fillId="4" borderId="1" xfId="0" applyFill="1" applyBorder="1" applyAlignment="1">
      <alignment vertical="center" wrapText="1"/>
    </xf>
    <xf numFmtId="0" fontId="0" fillId="5" borderId="1" xfId="0" applyFill="1" applyBorder="1" applyAlignment="1">
      <alignment vertical="center" wrapText="1"/>
    </xf>
    <xf numFmtId="0" fontId="0" fillId="6" borderId="1" xfId="0" applyFill="1" applyBorder="1" applyAlignment="1">
      <alignment horizontal="center" vertical="center" wrapText="1"/>
    </xf>
    <xf numFmtId="0" fontId="0" fillId="2" borderId="0" xfId="0" applyFill="1" applyAlignment="1">
      <alignment horizontal="center" vertical="center" wrapText="1"/>
    </xf>
    <xf numFmtId="0" fontId="9" fillId="4" borderId="1" xfId="0" applyFont="1" applyFill="1" applyBorder="1" applyAlignment="1">
      <alignment vertical="center" wrapText="1"/>
    </xf>
    <xf numFmtId="0" fontId="9" fillId="6" borderId="0" xfId="0" applyFont="1" applyFill="1" applyAlignment="1">
      <alignment vertical="center" wrapText="1"/>
    </xf>
    <xf numFmtId="0" fontId="2" fillId="7" borderId="1" xfId="0" applyFont="1" applyFill="1" applyBorder="1" applyAlignment="1">
      <alignment horizontal="center" vertical="center" wrapText="1"/>
    </xf>
    <xf numFmtId="0" fontId="5" fillId="2" borderId="0" xfId="0" applyFont="1" applyFill="1" applyAlignment="1">
      <alignment vertical="center" wrapText="1"/>
    </xf>
    <xf numFmtId="0" fontId="0" fillId="6" borderId="0" xfId="0" applyFill="1" applyAlignment="1">
      <alignment horizontal="center" vertical="center"/>
    </xf>
    <xf numFmtId="0" fontId="0" fillId="8" borderId="1" xfId="0" applyFill="1" applyBorder="1" applyAlignment="1">
      <alignment horizontal="center" vertical="center" wrapText="1"/>
    </xf>
    <xf numFmtId="0" fontId="0" fillId="7" borderId="1" xfId="0" applyFill="1" applyBorder="1" applyAlignment="1">
      <alignment horizontal="center" vertical="center" wrapText="1"/>
    </xf>
    <xf numFmtId="0" fontId="5" fillId="2" borderId="0" xfId="0" applyFont="1" applyFill="1" applyAlignment="1">
      <alignment horizontal="right" vertical="center" wrapText="1"/>
    </xf>
    <xf numFmtId="0" fontId="5" fillId="7" borderId="1" xfId="0" applyFont="1" applyFill="1" applyBorder="1" applyAlignment="1">
      <alignment horizontal="center" vertical="center" wrapText="1"/>
    </xf>
    <xf numFmtId="0" fontId="8" fillId="0" borderId="0" xfId="0" applyFont="1" applyAlignment="1">
      <alignment vertical="center"/>
    </xf>
    <xf numFmtId="0" fontId="5" fillId="6" borderId="0" xfId="0" applyFont="1" applyFill="1" applyAlignment="1">
      <alignment horizontal="left" vertical="center" wrapText="1"/>
    </xf>
    <xf numFmtId="0" fontId="2" fillId="6" borderId="0" xfId="0" applyFont="1" applyFill="1" applyAlignment="1">
      <alignment horizontal="left" vertical="center" wrapText="1"/>
    </xf>
    <xf numFmtId="0" fontId="0" fillId="6" borderId="0" xfId="0" applyFill="1" applyAlignment="1">
      <alignment horizontal="left" vertical="center" wrapText="1"/>
    </xf>
    <xf numFmtId="0" fontId="0" fillId="3" borderId="4" xfId="0" applyFill="1" applyBorder="1" applyAlignment="1">
      <alignment vertical="center" wrapText="1"/>
    </xf>
    <xf numFmtId="0" fontId="0" fillId="4" borderId="4" xfId="0" applyFill="1" applyBorder="1" applyAlignment="1">
      <alignment vertical="center" wrapText="1"/>
    </xf>
    <xf numFmtId="0" fontId="0" fillId="5" borderId="4" xfId="0" applyFill="1" applyBorder="1" applyAlignment="1">
      <alignment vertical="center" wrapText="1"/>
    </xf>
    <xf numFmtId="0" fontId="0" fillId="9" borderId="0" xfId="0" applyFill="1" applyAlignment="1">
      <alignment vertical="center" wrapText="1"/>
    </xf>
    <xf numFmtId="0" fontId="0" fillId="9" borderId="0" xfId="0" applyFill="1" applyAlignment="1">
      <alignment vertical="center"/>
    </xf>
    <xf numFmtId="0" fontId="2" fillId="2" borderId="2" xfId="0" applyFont="1" applyFill="1" applyBorder="1" applyAlignment="1">
      <alignment horizontal="left" vertical="center" wrapText="1"/>
    </xf>
    <xf numFmtId="0" fontId="2" fillId="0" borderId="0" xfId="0" applyFont="1" applyAlignment="1">
      <alignment horizontal="center" vertical="center"/>
    </xf>
    <xf numFmtId="0" fontId="2" fillId="6" borderId="0" xfId="0" applyFont="1" applyFill="1" applyAlignment="1">
      <alignment horizontal="center" vertical="center"/>
    </xf>
    <xf numFmtId="0" fontId="2" fillId="2" borderId="1" xfId="0" applyFont="1" applyFill="1" applyBorder="1" applyAlignment="1">
      <alignment horizontal="left" vertical="center" wrapText="1"/>
    </xf>
    <xf numFmtId="2" fontId="2" fillId="2" borderId="1" xfId="0" applyNumberFormat="1" applyFont="1" applyFill="1" applyBorder="1" applyAlignment="1">
      <alignment horizontal="center" vertical="center" wrapText="1"/>
    </xf>
    <xf numFmtId="0" fontId="2" fillId="7" borderId="1" xfId="0" applyFont="1" applyFill="1" applyBorder="1" applyAlignment="1">
      <alignment horizontal="left" vertical="center" wrapText="1"/>
    </xf>
    <xf numFmtId="9" fontId="2" fillId="7" borderId="1" xfId="0" applyNumberFormat="1" applyFont="1" applyFill="1" applyBorder="1" applyAlignment="1">
      <alignment horizontal="left" vertical="center" wrapText="1"/>
    </xf>
    <xf numFmtId="0" fontId="2" fillId="2" borderId="1" xfId="0" applyFont="1" applyFill="1" applyBorder="1" applyAlignment="1">
      <alignment vertical="center" wrapText="1"/>
    </xf>
    <xf numFmtId="0" fontId="2" fillId="2" borderId="0" xfId="0" applyFont="1" applyFill="1" applyAlignment="1">
      <alignment horizontal="center" vertical="center" wrapText="1"/>
    </xf>
    <xf numFmtId="3" fontId="2" fillId="2" borderId="0" xfId="0" applyNumberFormat="1" applyFont="1" applyFill="1" applyAlignment="1">
      <alignment horizontal="center" vertical="center" wrapText="1"/>
    </xf>
    <xf numFmtId="0" fontId="0" fillId="3" borderId="3" xfId="0" applyFill="1" applyBorder="1" applyAlignment="1">
      <alignment vertical="center" wrapText="1"/>
    </xf>
    <xf numFmtId="0" fontId="0" fillId="7" borderId="9" xfId="0" applyFill="1" applyBorder="1" applyAlignment="1">
      <alignment vertical="center" wrapText="1"/>
    </xf>
    <xf numFmtId="0" fontId="0" fillId="7" borderId="11" xfId="0" applyFill="1" applyBorder="1" applyAlignment="1">
      <alignment vertical="center" wrapText="1"/>
    </xf>
    <xf numFmtId="0" fontId="2" fillId="3" borderId="1" xfId="0" applyFont="1" applyFill="1" applyBorder="1" applyAlignment="1">
      <alignment vertical="center" wrapText="1"/>
    </xf>
    <xf numFmtId="0" fontId="9" fillId="0" borderId="0" xfId="0" applyFont="1" applyAlignment="1">
      <alignment vertical="center" wrapText="1"/>
    </xf>
    <xf numFmtId="0" fontId="2" fillId="0" borderId="0" xfId="0" applyFont="1" applyAlignment="1">
      <alignment vertical="center"/>
    </xf>
    <xf numFmtId="0" fontId="0" fillId="6" borderId="0" xfId="0" applyFill="1" applyAlignment="1">
      <alignment vertical="center"/>
    </xf>
    <xf numFmtId="0" fontId="2" fillId="6" borderId="0" xfId="0" applyFont="1" applyFill="1" applyAlignment="1">
      <alignment vertical="center"/>
    </xf>
    <xf numFmtId="0" fontId="16" fillId="6" borderId="0" xfId="0" applyFont="1" applyFill="1" applyAlignment="1">
      <alignment vertical="center" wrapText="1"/>
    </xf>
    <xf numFmtId="0" fontId="5" fillId="6" borderId="0" xfId="0" applyFont="1" applyFill="1" applyAlignment="1">
      <alignment vertical="center"/>
    </xf>
    <xf numFmtId="0" fontId="17" fillId="6" borderId="0" xfId="0" applyFont="1" applyFill="1" applyAlignment="1">
      <alignment vertical="center"/>
    </xf>
    <xf numFmtId="0" fontId="16" fillId="6" borderId="0" xfId="0" applyFont="1" applyFill="1" applyAlignment="1">
      <alignment vertical="center"/>
    </xf>
    <xf numFmtId="0" fontId="17" fillId="2" borderId="4" xfId="0" applyFont="1" applyFill="1" applyBorder="1" applyAlignment="1">
      <alignment horizontal="left" vertical="top" indent="1"/>
    </xf>
    <xf numFmtId="0" fontId="16" fillId="0" borderId="0" xfId="0" applyFont="1" applyAlignment="1">
      <alignment horizontal="center" vertical="center"/>
    </xf>
    <xf numFmtId="0" fontId="0" fillId="0" borderId="1" xfId="0" applyBorder="1" applyAlignment="1">
      <alignment horizontal="center" vertical="center" wrapText="1"/>
    </xf>
    <xf numFmtId="0" fontId="2" fillId="5"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0" borderId="0" xfId="0" applyFont="1" applyAlignment="1">
      <alignment horizontal="left"/>
    </xf>
    <xf numFmtId="0" fontId="2" fillId="2" borderId="0" xfId="0" applyFont="1" applyFill="1" applyAlignment="1">
      <alignment horizontal="center" vertical="center"/>
    </xf>
    <xf numFmtId="0" fontId="11" fillId="2" borderId="0" xfId="0" applyFont="1" applyFill="1" applyAlignment="1">
      <alignment horizontal="center" vertical="center" wrapText="1"/>
    </xf>
    <xf numFmtId="0" fontId="16" fillId="6" borderId="0" xfId="0" applyFont="1" applyFill="1" applyAlignment="1">
      <alignment horizontal="center" vertical="center" wrapText="1"/>
    </xf>
    <xf numFmtId="0" fontId="0" fillId="2" borderId="17" xfId="0" applyFill="1" applyBorder="1" applyAlignment="1">
      <alignment horizontal="center" vertical="center"/>
    </xf>
    <xf numFmtId="0" fontId="0" fillId="6" borderId="0" xfId="0" applyFill="1"/>
    <xf numFmtId="0" fontId="5" fillId="2" borderId="1"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13" fillId="9" borderId="0" xfId="0" applyFont="1" applyFill="1" applyAlignment="1">
      <alignment horizontal="center" vertical="center" wrapText="1"/>
    </xf>
    <xf numFmtId="0" fontId="14" fillId="9" borderId="0" xfId="0" applyFont="1" applyFill="1" applyAlignment="1">
      <alignment horizontal="center" vertical="center" textRotation="90" wrapText="1"/>
    </xf>
    <xf numFmtId="0" fontId="13" fillId="9" borderId="0" xfId="0" applyFont="1" applyFill="1" applyAlignment="1">
      <alignment horizontal="center" vertical="top" wrapText="1"/>
    </xf>
    <xf numFmtId="0" fontId="7" fillId="0" borderId="0" xfId="0" applyFont="1" applyAlignment="1">
      <alignment vertical="center"/>
    </xf>
    <xf numFmtId="0" fontId="5" fillId="2" borderId="4" xfId="0" applyFont="1" applyFill="1" applyBorder="1" applyAlignment="1">
      <alignment vertical="center" wrapText="1"/>
    </xf>
    <xf numFmtId="0" fontId="5" fillId="2" borderId="6" xfId="0" applyFont="1" applyFill="1" applyBorder="1" applyAlignment="1">
      <alignment vertical="center" wrapText="1"/>
    </xf>
    <xf numFmtId="0" fontId="5" fillId="2" borderId="6" xfId="0" applyFont="1" applyFill="1" applyBorder="1" applyAlignment="1">
      <alignment horizontal="left" vertical="center" wrapText="1"/>
    </xf>
    <xf numFmtId="0" fontId="5" fillId="2" borderId="7" xfId="0" applyFont="1" applyFill="1" applyBorder="1" applyAlignment="1">
      <alignment vertical="center" wrapText="1"/>
    </xf>
    <xf numFmtId="0" fontId="21" fillId="2" borderId="4" xfId="0" applyFont="1" applyFill="1" applyBorder="1" applyAlignment="1">
      <alignment vertical="center" wrapText="1"/>
    </xf>
    <xf numFmtId="0" fontId="19" fillId="2" borderId="7" xfId="0" applyFont="1" applyFill="1" applyBorder="1" applyAlignment="1">
      <alignment vertical="center" wrapText="1"/>
    </xf>
    <xf numFmtId="0" fontId="2" fillId="10" borderId="1" xfId="0" applyFont="1" applyFill="1" applyBorder="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xf numFmtId="2" fontId="19" fillId="2" borderId="6" xfId="0" applyNumberFormat="1" applyFont="1" applyFill="1" applyBorder="1" applyAlignment="1">
      <alignment horizontal="center" vertical="center" wrapText="1"/>
    </xf>
    <xf numFmtId="0" fontId="19" fillId="2" borderId="1" xfId="0" applyFont="1" applyFill="1" applyBorder="1" applyAlignment="1">
      <alignment horizontal="right" vertical="center"/>
    </xf>
    <xf numFmtId="0" fontId="19" fillId="2" borderId="1" xfId="0" applyFont="1" applyFill="1" applyBorder="1" applyAlignment="1">
      <alignment vertical="center"/>
    </xf>
    <xf numFmtId="0" fontId="12" fillId="0" borderId="0" xfId="0" applyFont="1" applyAlignment="1">
      <alignment vertical="center" wrapText="1"/>
    </xf>
    <xf numFmtId="0" fontId="5" fillId="11" borderId="0" xfId="0" applyFont="1" applyFill="1" applyAlignment="1">
      <alignment horizontal="center" vertical="center" wrapText="1"/>
    </xf>
    <xf numFmtId="0" fontId="11" fillId="11" borderId="0" xfId="0" applyFont="1" applyFill="1" applyAlignment="1">
      <alignment vertical="center"/>
    </xf>
    <xf numFmtId="0" fontId="2" fillId="11" borderId="0" xfId="0" applyFont="1" applyFill="1" applyAlignment="1">
      <alignment horizontal="left"/>
    </xf>
    <xf numFmtId="0" fontId="5" fillId="0" borderId="0" xfId="0" applyFont="1" applyAlignment="1">
      <alignment vertical="center"/>
    </xf>
    <xf numFmtId="0" fontId="0" fillId="6" borderId="18" xfId="0" applyFill="1" applyBorder="1" applyAlignment="1">
      <alignment vertical="center" wrapText="1"/>
    </xf>
    <xf numFmtId="0" fontId="11" fillId="6" borderId="0" xfId="0" applyFont="1" applyFill="1" applyAlignment="1">
      <alignment vertical="center"/>
    </xf>
    <xf numFmtId="0" fontId="2" fillId="11" borderId="0" xfId="0" applyFont="1" applyFill="1"/>
    <xf numFmtId="0" fontId="2" fillId="6" borderId="0" xfId="0" applyFont="1" applyFill="1" applyAlignment="1">
      <alignment horizontal="left"/>
    </xf>
    <xf numFmtId="0" fontId="2" fillId="6" borderId="0" xfId="0" applyFont="1" applyFill="1"/>
    <xf numFmtId="0" fontId="0" fillId="11" borderId="0" xfId="0" applyFill="1" applyAlignment="1">
      <alignment vertical="center" wrapText="1"/>
    </xf>
    <xf numFmtId="0" fontId="0" fillId="11" borderId="0" xfId="0" applyFill="1" applyAlignment="1">
      <alignment vertical="center"/>
    </xf>
    <xf numFmtId="0" fontId="0" fillId="11" borderId="0" xfId="0" applyFill="1" applyAlignment="1">
      <alignment horizontal="left" vertical="center" wrapText="1"/>
    </xf>
    <xf numFmtId="0" fontId="2" fillId="0" borderId="0" xfId="0" applyFont="1" applyAlignment="1">
      <alignment horizontal="left" wrapText="1"/>
    </xf>
    <xf numFmtId="0" fontId="2" fillId="6" borderId="0" xfId="0" applyFont="1" applyFill="1" applyAlignment="1">
      <alignment horizontal="left" wrapText="1"/>
    </xf>
    <xf numFmtId="0" fontId="0" fillId="2" borderId="1" xfId="0" applyFill="1" applyBorder="1" applyAlignment="1">
      <alignment horizontal="center" vertical="center"/>
    </xf>
    <xf numFmtId="0" fontId="16" fillId="6" borderId="0" xfId="0" applyFont="1" applyFill="1" applyAlignment="1">
      <alignment horizontal="center" vertical="center"/>
    </xf>
    <xf numFmtId="0" fontId="0" fillId="7" borderId="1" xfId="0" applyFill="1" applyBorder="1" applyAlignment="1">
      <alignment vertical="center"/>
    </xf>
    <xf numFmtId="0" fontId="0" fillId="7" borderId="1" xfId="0" applyFill="1" applyBorder="1" applyAlignment="1">
      <alignment vertical="center" wrapText="1"/>
    </xf>
    <xf numFmtId="0" fontId="2" fillId="7" borderId="1" xfId="0" applyFont="1" applyFill="1" applyBorder="1" applyAlignment="1">
      <alignment vertical="center" wrapText="1"/>
    </xf>
    <xf numFmtId="0" fontId="2" fillId="2" borderId="1" xfId="0" quotePrefix="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6" borderId="0" xfId="0" applyFont="1" applyFill="1" applyAlignment="1">
      <alignment horizontal="center" vertical="center" wrapText="1"/>
    </xf>
    <xf numFmtId="0" fontId="12" fillId="6" borderId="0" xfId="0" applyFont="1" applyFill="1" applyAlignment="1">
      <alignment horizontal="center" vertical="center" wrapText="1"/>
    </xf>
    <xf numFmtId="0" fontId="1" fillId="2" borderId="1" xfId="0" applyFont="1" applyFill="1" applyBorder="1" applyAlignment="1">
      <alignment vertical="center" wrapText="1"/>
    </xf>
    <xf numFmtId="0" fontId="23" fillId="0" borderId="0" xfId="0" applyFont="1" applyAlignment="1">
      <alignment horizontal="center" vertical="center" wrapText="1"/>
    </xf>
    <xf numFmtId="0" fontId="2" fillId="2" borderId="0" xfId="0" applyFont="1" applyFill="1" applyAlignment="1">
      <alignment vertical="center"/>
    </xf>
    <xf numFmtId="0" fontId="11" fillId="12" borderId="1" xfId="0" applyFont="1" applyFill="1" applyBorder="1" applyAlignment="1">
      <alignment horizontal="center" vertical="center" wrapText="1"/>
    </xf>
    <xf numFmtId="0" fontId="2" fillId="19" borderId="1" xfId="0" applyFont="1" applyFill="1" applyBorder="1" applyAlignment="1">
      <alignment horizontal="center" vertical="center"/>
    </xf>
    <xf numFmtId="0" fontId="2" fillId="20" borderId="1" xfId="0" applyFont="1" applyFill="1" applyBorder="1" applyAlignment="1">
      <alignment horizontal="center" vertical="center"/>
    </xf>
    <xf numFmtId="0" fontId="0" fillId="11" borderId="0" xfId="0" applyFill="1"/>
    <xf numFmtId="0" fontId="5" fillId="11" borderId="0" xfId="0" applyFont="1" applyFill="1"/>
    <xf numFmtId="0" fontId="7" fillId="11" borderId="0" xfId="0" applyFont="1" applyFill="1"/>
    <xf numFmtId="0" fontId="11" fillId="11" borderId="7" xfId="0" applyFont="1" applyFill="1" applyBorder="1" applyAlignment="1">
      <alignment vertical="center"/>
    </xf>
    <xf numFmtId="0" fontId="5" fillId="11" borderId="7" xfId="0"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2" fillId="9" borderId="0" xfId="0" applyFont="1" applyFill="1" applyAlignment="1">
      <alignment vertical="center"/>
    </xf>
    <xf numFmtId="0" fontId="12" fillId="19" borderId="1" xfId="0" applyFont="1" applyFill="1" applyBorder="1" applyAlignment="1">
      <alignment horizontal="center" vertical="center"/>
    </xf>
    <xf numFmtId="0" fontId="12" fillId="20" borderId="1" xfId="0" applyFont="1" applyFill="1" applyBorder="1" applyAlignment="1">
      <alignment horizontal="center" vertical="center"/>
    </xf>
    <xf numFmtId="0" fontId="24" fillId="2" borderId="0" xfId="0" applyFont="1" applyFill="1" applyAlignment="1">
      <alignment horizontal="center" vertical="center" wrapText="1"/>
    </xf>
    <xf numFmtId="3" fontId="19" fillId="2" borderId="0" xfId="0" applyNumberFormat="1" applyFont="1" applyFill="1" applyAlignment="1">
      <alignment horizontal="center" vertical="center" wrapText="1"/>
    </xf>
    <xf numFmtId="0" fontId="19" fillId="2" borderId="0" xfId="0" applyFont="1" applyFill="1" applyAlignment="1">
      <alignment horizontal="center" vertical="center" wrapText="1"/>
    </xf>
    <xf numFmtId="0" fontId="5" fillId="0" borderId="1" xfId="0" applyFont="1" applyBorder="1" applyAlignment="1">
      <alignment horizontal="center" vertical="center" wrapText="1"/>
    </xf>
    <xf numFmtId="2" fontId="2" fillId="0" borderId="1" xfId="0" applyNumberFormat="1" applyFont="1" applyBorder="1" applyAlignment="1">
      <alignment horizontal="center" vertical="center" wrapText="1"/>
    </xf>
    <xf numFmtId="0" fontId="25" fillId="11" borderId="0" xfId="0" applyFont="1" applyFill="1"/>
    <xf numFmtId="0" fontId="17" fillId="0" borderId="0" xfId="0" applyFont="1" applyAlignment="1">
      <alignment vertical="center"/>
    </xf>
    <xf numFmtId="0" fontId="26" fillId="6" borderId="0" xfId="0" applyFont="1" applyFill="1" applyAlignment="1">
      <alignment horizontal="left" vertical="top"/>
    </xf>
    <xf numFmtId="2" fontId="9" fillId="0" borderId="0" xfId="0" applyNumberFormat="1" applyFont="1" applyAlignment="1">
      <alignment vertical="center" wrapText="1"/>
    </xf>
    <xf numFmtId="0" fontId="17" fillId="0" borderId="0" xfId="0" applyFont="1"/>
    <xf numFmtId="0" fontId="0" fillId="11" borderId="0" xfId="0" applyFill="1" applyAlignment="1">
      <alignment horizontal="center" vertical="center" wrapText="1"/>
    </xf>
    <xf numFmtId="0" fontId="5" fillId="2" borderId="2" xfId="0" applyFont="1" applyFill="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left" vertical="center"/>
    </xf>
    <xf numFmtId="0" fontId="0" fillId="0" borderId="1" xfId="0" applyBorder="1" applyAlignment="1">
      <alignment vertical="center" wrapText="1"/>
    </xf>
    <xf numFmtId="164" fontId="2" fillId="2" borderId="1" xfId="0" applyNumberFormat="1" applyFont="1" applyFill="1" applyBorder="1" applyAlignment="1">
      <alignment horizontal="center" vertical="center" wrapText="1"/>
    </xf>
    <xf numFmtId="0" fontId="2" fillId="8" borderId="1" xfId="0" applyFont="1" applyFill="1" applyBorder="1" applyAlignment="1">
      <alignment horizontal="right" vertical="center" wrapText="1"/>
    </xf>
    <xf numFmtId="0" fontId="5" fillId="2" borderId="16"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9" fillId="6" borderId="0" xfId="0" applyFont="1" applyFill="1" applyAlignment="1">
      <alignment horizontal="center" vertical="center" wrapText="1"/>
    </xf>
    <xf numFmtId="0" fontId="2" fillId="2" borderId="4" xfId="0" applyFont="1" applyFill="1" applyBorder="1" applyAlignment="1">
      <alignment horizontal="center" vertical="center" wrapText="1"/>
    </xf>
    <xf numFmtId="0" fontId="0" fillId="2" borderId="0" xfId="0" applyFill="1" applyAlignment="1">
      <alignment vertical="center"/>
    </xf>
    <xf numFmtId="0" fontId="0" fillId="2" borderId="0" xfId="0" applyFill="1" applyAlignment="1">
      <alignment horizontal="center" vertical="center"/>
    </xf>
    <xf numFmtId="0" fontId="28" fillId="5" borderId="1" xfId="0" applyFont="1" applyFill="1" applyBorder="1" applyAlignment="1">
      <alignment vertical="center" wrapText="1"/>
    </xf>
    <xf numFmtId="0" fontId="0" fillId="2" borderId="1" xfId="0" applyFill="1" applyBorder="1" applyAlignment="1">
      <alignment horizontal="left" vertical="center" wrapText="1"/>
    </xf>
    <xf numFmtId="0" fontId="5" fillId="6" borderId="5" xfId="0" applyFont="1" applyFill="1" applyBorder="1" applyAlignment="1">
      <alignment horizontal="center" vertical="center" wrapText="1"/>
    </xf>
    <xf numFmtId="164" fontId="2" fillId="11" borderId="1" xfId="0" applyNumberFormat="1" applyFont="1" applyFill="1" applyBorder="1" applyAlignment="1">
      <alignment horizontal="center" vertical="center" wrapText="1"/>
    </xf>
    <xf numFmtId="164" fontId="5" fillId="7" borderId="1" xfId="0" applyNumberFormat="1" applyFont="1" applyFill="1" applyBorder="1" applyAlignment="1">
      <alignment horizontal="center" vertical="center" wrapText="1"/>
    </xf>
    <xf numFmtId="164" fontId="0" fillId="2" borderId="0" xfId="0" applyNumberFormat="1" applyFill="1" applyAlignment="1">
      <alignment horizontal="center" vertical="center" wrapText="1"/>
    </xf>
    <xf numFmtId="164" fontId="0" fillId="7" borderId="1" xfId="0" applyNumberForma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2" fillId="11" borderId="6" xfId="0" applyFont="1" applyFill="1" applyBorder="1" applyAlignment="1">
      <alignment vertical="center" wrapText="1"/>
    </xf>
    <xf numFmtId="0" fontId="2" fillId="11" borderId="10" xfId="0" applyFont="1" applyFill="1" applyBorder="1" applyAlignment="1">
      <alignment vertical="center" wrapText="1"/>
    </xf>
    <xf numFmtId="0" fontId="12" fillId="6" borderId="0" xfId="0" applyFont="1" applyFill="1" applyAlignment="1">
      <alignment horizontal="left" vertical="center" wrapText="1"/>
    </xf>
    <xf numFmtId="0" fontId="2" fillId="6" borderId="0" xfId="0" applyFont="1" applyFill="1" applyAlignment="1">
      <alignment horizontal="left" vertical="top" wrapText="1"/>
    </xf>
    <xf numFmtId="0" fontId="0" fillId="6" borderId="0" xfId="0" applyFill="1" applyAlignment="1">
      <alignment horizontal="left" vertical="top" wrapText="1"/>
    </xf>
    <xf numFmtId="0" fontId="2" fillId="2" borderId="0" xfId="0" applyFont="1" applyFill="1" applyAlignment="1">
      <alignment horizontal="left" vertical="center" wrapText="1"/>
    </xf>
    <xf numFmtId="0" fontId="2" fillId="8" borderId="4" xfId="0" applyFont="1" applyFill="1" applyBorder="1" applyAlignment="1">
      <alignment vertical="center" wrapText="1"/>
    </xf>
    <xf numFmtId="0" fontId="5" fillId="8" borderId="4" xfId="0" applyFont="1" applyFill="1" applyBorder="1" applyAlignment="1">
      <alignment horizontal="left" vertical="center" wrapText="1"/>
    </xf>
    <xf numFmtId="0" fontId="0" fillId="6" borderId="0" xfId="0" applyFill="1" applyAlignment="1">
      <alignment vertical="top" wrapText="1"/>
    </xf>
    <xf numFmtId="0" fontId="2" fillId="6" borderId="0" xfId="0" applyFont="1" applyFill="1" applyAlignment="1">
      <alignment vertical="top" wrapText="1"/>
    </xf>
    <xf numFmtId="14" fontId="0" fillId="11" borderId="0" xfId="0" applyNumberFormat="1" applyFill="1" applyAlignment="1">
      <alignment horizontal="left"/>
    </xf>
    <xf numFmtId="0" fontId="2" fillId="10" borderId="7" xfId="0" applyFont="1" applyFill="1" applyBorder="1" applyAlignment="1" applyProtection="1">
      <alignment horizontal="center" vertical="center" wrapText="1"/>
      <protection locked="0"/>
    </xf>
    <xf numFmtId="0" fontId="19" fillId="2" borderId="6" xfId="0" applyFont="1" applyFill="1" applyBorder="1" applyAlignment="1" applyProtection="1">
      <alignment horizontal="center" vertical="center" wrapText="1"/>
      <protection locked="0"/>
    </xf>
    <xf numFmtId="0" fontId="5" fillId="10" borderId="1" xfId="0" applyFont="1" applyFill="1" applyBorder="1" applyAlignment="1">
      <alignment horizontal="center" vertical="center"/>
    </xf>
    <xf numFmtId="0" fontId="5" fillId="10" borderId="1" xfId="0" applyFont="1" applyFill="1" applyBorder="1" applyAlignment="1">
      <alignment vertical="center"/>
    </xf>
    <xf numFmtId="0" fontId="16" fillId="6" borderId="0" xfId="0" applyFont="1" applyFill="1" applyAlignment="1" applyProtection="1">
      <alignment vertical="center"/>
      <protection locked="0"/>
    </xf>
    <xf numFmtId="0" fontId="9" fillId="0" borderId="0" xfId="0" applyFont="1" applyAlignment="1">
      <alignment vertical="center"/>
    </xf>
    <xf numFmtId="0" fontId="9" fillId="0" borderId="0" xfId="0" applyFont="1" applyAlignment="1" applyProtection="1">
      <alignment horizontal="center" vertical="center"/>
      <protection locked="0"/>
    </xf>
    <xf numFmtId="0" fontId="9" fillId="0" borderId="0" xfId="0" applyFont="1" applyAlignment="1" applyProtection="1">
      <alignment vertical="center"/>
      <protection locked="0"/>
    </xf>
    <xf numFmtId="0" fontId="5" fillId="10" borderId="1" xfId="0" applyFont="1" applyFill="1" applyBorder="1" applyAlignment="1" applyProtection="1">
      <alignment horizontal="center" vertical="center" wrapText="1"/>
      <protection locked="0"/>
    </xf>
    <xf numFmtId="0" fontId="2" fillId="10" borderId="2" xfId="0" applyFont="1" applyFill="1" applyBorder="1" applyAlignment="1" applyProtection="1">
      <alignment horizontal="center" vertical="center" wrapText="1"/>
      <protection locked="0"/>
    </xf>
    <xf numFmtId="0" fontId="2" fillId="10" borderId="3" xfId="0" applyFont="1" applyFill="1" applyBorder="1" applyAlignment="1" applyProtection="1">
      <alignment horizontal="center" vertical="center" wrapText="1"/>
      <protection locked="0"/>
    </xf>
    <xf numFmtId="0" fontId="0" fillId="10" borderId="1" xfId="0" applyFill="1" applyBorder="1" applyAlignment="1" applyProtection="1">
      <alignment horizontal="center" vertical="center" wrapText="1"/>
      <protection locked="0"/>
    </xf>
    <xf numFmtId="0" fontId="2" fillId="2" borderId="2" xfId="0" applyFont="1" applyFill="1" applyBorder="1" applyAlignment="1">
      <alignment horizontal="center" vertical="center" wrapText="1"/>
    </xf>
    <xf numFmtId="49" fontId="0" fillId="10" borderId="1" xfId="0" applyNumberFormat="1" applyFill="1" applyBorder="1" applyAlignment="1" applyProtection="1">
      <alignment horizontal="center" vertical="center" wrapText="1"/>
      <protection locked="0"/>
    </xf>
    <xf numFmtId="49" fontId="2" fillId="10" borderId="1" xfId="0" applyNumberFormat="1" applyFont="1" applyFill="1" applyBorder="1" applyAlignment="1" applyProtection="1">
      <alignment horizontal="center" vertical="center" wrapText="1"/>
      <protection locked="0"/>
    </xf>
    <xf numFmtId="0" fontId="0" fillId="10" borderId="1" xfId="0" applyFill="1" applyBorder="1" applyAlignment="1" applyProtection="1">
      <alignment horizontal="left" vertical="top" wrapText="1"/>
      <protection locked="0"/>
    </xf>
    <xf numFmtId="0" fontId="29" fillId="2" borderId="13" xfId="0" applyFont="1" applyFill="1" applyBorder="1" applyAlignment="1">
      <alignment wrapText="1"/>
    </xf>
    <xf numFmtId="0" fontId="29" fillId="2" borderId="16" xfId="0" applyFont="1" applyFill="1" applyBorder="1" applyAlignment="1">
      <alignment wrapText="1"/>
    </xf>
    <xf numFmtId="0" fontId="29" fillId="2" borderId="16" xfId="0" applyFont="1" applyFill="1" applyBorder="1" applyAlignment="1">
      <alignment horizontal="left"/>
    </xf>
    <xf numFmtId="0" fontId="2" fillId="10" borderId="1" xfId="0" applyFont="1" applyFill="1" applyBorder="1" applyAlignment="1" applyProtection="1">
      <alignment horizontal="left" vertical="top" wrapText="1"/>
      <protection locked="0"/>
    </xf>
    <xf numFmtId="165" fontId="2" fillId="10" borderId="1" xfId="0" applyNumberFormat="1" applyFont="1" applyFill="1" applyBorder="1" applyAlignment="1" applyProtection="1">
      <alignment horizontal="center" vertical="center" wrapText="1"/>
      <protection locked="0"/>
    </xf>
    <xf numFmtId="0" fontId="5" fillId="6" borderId="8"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11" borderId="0" xfId="0" applyFont="1" applyFill="1" applyAlignment="1">
      <alignment horizontal="center"/>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4" xfId="0" applyFont="1" applyFill="1" applyBorder="1" applyAlignment="1" applyProtection="1">
      <alignment horizontal="center" vertical="center" wrapText="1"/>
      <protection locked="0"/>
    </xf>
    <xf numFmtId="0" fontId="19" fillId="2" borderId="7" xfId="0" applyFont="1" applyFill="1" applyBorder="1" applyAlignment="1" applyProtection="1">
      <alignment horizontal="center" vertical="center" wrapText="1"/>
      <protection locked="0"/>
    </xf>
    <xf numFmtId="2" fontId="19" fillId="2" borderId="4" xfId="0" applyNumberFormat="1" applyFont="1" applyFill="1" applyBorder="1" applyAlignment="1" applyProtection="1">
      <alignment horizontal="center" vertical="center" wrapText="1"/>
      <protection locked="0"/>
    </xf>
    <xf numFmtId="2" fontId="19" fillId="2" borderId="7" xfId="0" applyNumberFormat="1" applyFont="1" applyFill="1" applyBorder="1" applyAlignment="1" applyProtection="1">
      <alignment horizontal="center" vertical="center" wrapText="1"/>
      <protection locked="0"/>
    </xf>
    <xf numFmtId="0" fontId="19" fillId="2" borderId="6"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2" fillId="10" borderId="1" xfId="0" applyFont="1" applyFill="1" applyBorder="1" applyAlignment="1" applyProtection="1">
      <alignment horizontal="center" vertical="center" wrapText="1"/>
      <protection locked="0"/>
    </xf>
    <xf numFmtId="0" fontId="17" fillId="2" borderId="4"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7" xfId="0" applyFont="1" applyFill="1" applyBorder="1" applyAlignment="1">
      <alignment horizontal="left" vertical="center" wrapText="1"/>
    </xf>
    <xf numFmtId="0" fontId="17" fillId="2" borderId="9" xfId="0" applyFont="1" applyFill="1" applyBorder="1" applyAlignment="1">
      <alignment horizontal="left" vertical="top" wrapText="1"/>
    </xf>
    <xf numFmtId="0" fontId="17" fillId="2" borderId="10"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2"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19" xfId="0" applyFont="1" applyFill="1" applyBorder="1" applyAlignment="1">
      <alignment horizontal="left" vertical="top" wrapText="1"/>
    </xf>
    <xf numFmtId="0" fontId="2" fillId="10" borderId="0" xfId="0" applyFont="1" applyFill="1" applyAlignment="1">
      <alignment horizontal="center"/>
    </xf>
    <xf numFmtId="0" fontId="5" fillId="2" borderId="2" xfId="0" applyFont="1" applyFill="1" applyBorder="1" applyAlignment="1">
      <alignment horizontal="left" vertical="center"/>
    </xf>
    <xf numFmtId="0" fontId="0" fillId="10" borderId="1" xfId="0" applyFill="1" applyBorder="1" applyAlignment="1">
      <alignment horizontal="center" vertical="center"/>
    </xf>
    <xf numFmtId="0" fontId="0" fillId="10" borderId="4" xfId="0" applyFill="1" applyBorder="1" applyAlignment="1">
      <alignment horizontal="center" vertical="center"/>
    </xf>
    <xf numFmtId="0" fontId="5" fillId="2" borderId="2" xfId="0" applyFont="1" applyFill="1" applyBorder="1" applyAlignment="1">
      <alignment horizontal="left" vertical="top"/>
    </xf>
    <xf numFmtId="0" fontId="11" fillId="13" borderId="0" xfId="0" applyFont="1" applyFill="1" applyAlignment="1">
      <alignment horizontal="left" vertical="center" wrapText="1"/>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17" fillId="2" borderId="6" xfId="0" applyFont="1" applyFill="1" applyBorder="1" applyAlignment="1">
      <alignment horizontal="left" vertical="top" wrapText="1"/>
    </xf>
    <xf numFmtId="0" fontId="17" fillId="2" borderId="7" xfId="0" applyFont="1" applyFill="1" applyBorder="1" applyAlignment="1">
      <alignment horizontal="left" vertical="top" wrapText="1"/>
    </xf>
    <xf numFmtId="0" fontId="5" fillId="2" borderId="1" xfId="0" applyFont="1" applyFill="1" applyBorder="1" applyAlignment="1">
      <alignment horizontal="left" vertical="center"/>
    </xf>
    <xf numFmtId="0" fontId="9" fillId="11" borderId="10" xfId="0" applyFont="1" applyFill="1" applyBorder="1" applyAlignment="1" applyProtection="1">
      <alignment horizontal="center" vertical="center"/>
      <protection locked="0"/>
    </xf>
    <xf numFmtId="0" fontId="0" fillId="10" borderId="1" xfId="0" applyFill="1" applyBorder="1" applyAlignment="1">
      <alignment horizontal="left" vertical="center" indent="2"/>
    </xf>
    <xf numFmtId="0" fontId="7" fillId="2" borderId="1" xfId="0" applyFont="1" applyFill="1" applyBorder="1" applyAlignment="1">
      <alignment horizontal="center" vertical="center"/>
    </xf>
    <xf numFmtId="0" fontId="2" fillId="10" borderId="1" xfId="0" applyFont="1" applyFill="1" applyBorder="1" applyAlignment="1">
      <alignment horizontal="left" vertical="center" wrapText="1" indent="2"/>
    </xf>
    <xf numFmtId="0" fontId="0" fillId="10" borderId="1" xfId="0" applyFill="1" applyBorder="1" applyAlignment="1">
      <alignment horizontal="left" vertical="center" wrapText="1" indent="2"/>
    </xf>
    <xf numFmtId="0" fontId="5" fillId="2" borderId="1" xfId="0" applyFont="1" applyFill="1" applyBorder="1" applyAlignment="1">
      <alignment horizontal="left" vertical="center" wrapText="1"/>
    </xf>
    <xf numFmtId="0" fontId="0" fillId="2" borderId="1" xfId="0" applyFill="1" applyBorder="1" applyAlignment="1">
      <alignment horizontal="center" vertical="center" wrapText="1"/>
    </xf>
    <xf numFmtId="0" fontId="7" fillId="2" borderId="1" xfId="0" applyFont="1" applyFill="1" applyBorder="1" applyAlignment="1">
      <alignment horizontal="center" vertical="center" wrapText="1"/>
    </xf>
    <xf numFmtId="0" fontId="2" fillId="10" borderId="2" xfId="0" applyFont="1" applyFill="1" applyBorder="1" applyAlignment="1" applyProtection="1">
      <alignment horizontal="center" vertical="center" wrapText="1"/>
      <protection locked="0"/>
    </xf>
    <xf numFmtId="0" fontId="2" fillId="10" borderId="3" xfId="0" applyFont="1" applyFill="1" applyBorder="1" applyAlignment="1" applyProtection="1">
      <alignment horizontal="center" vertical="center" wrapText="1"/>
      <protection locked="0"/>
    </xf>
    <xf numFmtId="0" fontId="12" fillId="6" borderId="0" xfId="0" applyFont="1" applyFill="1" applyAlignment="1">
      <alignment horizontal="left" vertical="center" wrapText="1"/>
    </xf>
    <xf numFmtId="0" fontId="0" fillId="3" borderId="1" xfId="0" applyFill="1" applyBorder="1" applyAlignment="1">
      <alignment horizontal="center" vertical="center" wrapText="1"/>
    </xf>
    <xf numFmtId="0" fontId="2" fillId="2" borderId="1" xfId="0" applyFont="1" applyFill="1" applyBorder="1" applyAlignment="1">
      <alignment horizontal="left" vertical="center" wrapText="1"/>
    </xf>
    <xf numFmtId="0" fontId="5" fillId="6" borderId="0" xfId="0" applyFont="1" applyFill="1" applyAlignment="1">
      <alignment horizontal="left" vertical="center" wrapText="1"/>
    </xf>
    <xf numFmtId="0" fontId="2" fillId="3" borderId="10" xfId="0" applyFont="1" applyFill="1" applyBorder="1" applyAlignment="1">
      <alignment horizontal="left" vertical="top" wrapText="1"/>
    </xf>
    <xf numFmtId="0" fontId="2" fillId="3" borderId="5" xfId="0" applyFont="1" applyFill="1" applyBorder="1" applyAlignment="1">
      <alignment horizontal="left" vertical="top" wrapText="1"/>
    </xf>
    <xf numFmtId="0" fontId="5" fillId="6" borderId="0" xfId="0" applyFont="1" applyFill="1" applyAlignment="1">
      <alignment horizontal="left" vertical="center"/>
    </xf>
    <xf numFmtId="0" fontId="5" fillId="15" borderId="0" xfId="0" applyFont="1" applyFill="1" applyAlignment="1">
      <alignment horizontal="left" vertical="center" wrapText="1"/>
    </xf>
    <xf numFmtId="0" fontId="0" fillId="6" borderId="0" xfId="0" applyFill="1" applyAlignment="1">
      <alignment horizontal="center" vertical="center"/>
    </xf>
    <xf numFmtId="0" fontId="5" fillId="2" borderId="14"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20" fillId="6" borderId="0" xfId="0" applyFont="1" applyFill="1" applyAlignment="1">
      <alignment horizontal="left" vertical="center" wrapText="1"/>
    </xf>
    <xf numFmtId="0" fontId="17" fillId="0" borderId="0" xfId="0" applyFont="1" applyAlignment="1">
      <alignment horizontal="left" vertical="center"/>
    </xf>
    <xf numFmtId="0" fontId="5" fillId="2" borderId="16"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7" fillId="6" borderId="0" xfId="0" applyFont="1" applyFill="1" applyAlignment="1">
      <alignment horizontal="left" vertical="center" wrapText="1"/>
    </xf>
    <xf numFmtId="0" fontId="17" fillId="0" borderId="0" xfId="0" applyFont="1" applyAlignment="1">
      <alignment horizontal="left" vertical="center" wrapText="1"/>
    </xf>
    <xf numFmtId="0" fontId="2" fillId="0" borderId="0" xfId="0" applyFont="1" applyAlignment="1">
      <alignment horizontal="center" vertical="center" wrapText="1"/>
    </xf>
    <xf numFmtId="0" fontId="11" fillId="17" borderId="0" xfId="0" applyFont="1" applyFill="1" applyAlignment="1">
      <alignment horizontal="left" vertical="center" wrapText="1"/>
    </xf>
    <xf numFmtId="0" fontId="0" fillId="2" borderId="1" xfId="0" applyFill="1" applyBorder="1" applyAlignment="1">
      <alignment horizontal="left" vertical="center" wrapText="1"/>
    </xf>
    <xf numFmtId="0" fontId="14" fillId="9" borderId="0" xfId="0" applyFont="1" applyFill="1" applyAlignment="1">
      <alignment horizontal="center" vertical="center" textRotation="90" wrapText="1"/>
    </xf>
    <xf numFmtId="0" fontId="13" fillId="9" borderId="0" xfId="0" applyFont="1" applyFill="1" applyAlignment="1">
      <alignment horizontal="center" vertical="center" wrapText="1"/>
    </xf>
    <xf numFmtId="0" fontId="2" fillId="2" borderId="3" xfId="0" applyFont="1" applyFill="1" applyBorder="1" applyAlignment="1">
      <alignment horizontal="left" vertical="center" wrapText="1"/>
    </xf>
    <xf numFmtId="0" fontId="0" fillId="2" borderId="3" xfId="0" applyFill="1" applyBorder="1" applyAlignment="1">
      <alignment horizontal="left" vertical="center" wrapText="1"/>
    </xf>
    <xf numFmtId="0" fontId="2" fillId="2" borderId="8" xfId="0" applyFont="1" applyFill="1" applyBorder="1" applyAlignment="1">
      <alignment horizontal="left" vertical="center" wrapText="1"/>
    </xf>
    <xf numFmtId="0" fontId="0" fillId="2" borderId="8" xfId="0" applyFill="1" applyBorder="1" applyAlignment="1">
      <alignment horizontal="left" vertical="center" wrapText="1"/>
    </xf>
    <xf numFmtId="0" fontId="2" fillId="2" borderId="2" xfId="0" applyFont="1" applyFill="1" applyBorder="1" applyAlignment="1">
      <alignment horizontal="left" vertical="center" wrapText="1"/>
    </xf>
    <xf numFmtId="0" fontId="0" fillId="2" borderId="2" xfId="0" applyFill="1" applyBorder="1" applyAlignment="1">
      <alignment horizontal="left" vertical="center" wrapText="1"/>
    </xf>
    <xf numFmtId="0" fontId="0" fillId="6" borderId="0" xfId="0" applyFill="1" applyAlignment="1">
      <alignment horizontal="right" vertical="center" wrapText="1"/>
    </xf>
    <xf numFmtId="0" fontId="2" fillId="7" borderId="4"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 fillId="6" borderId="0" xfId="0" applyFont="1" applyFill="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8" borderId="4" xfId="0" applyFont="1" applyFill="1" applyBorder="1" applyAlignment="1">
      <alignment horizontal="right" vertical="center" wrapText="1"/>
    </xf>
    <xf numFmtId="0" fontId="2" fillId="8" borderId="7" xfId="0" applyFont="1" applyFill="1" applyBorder="1" applyAlignment="1">
      <alignment horizontal="right" vertical="center" wrapText="1"/>
    </xf>
    <xf numFmtId="0" fontId="2" fillId="7" borderId="6"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13" fillId="9" borderId="0" xfId="0" applyFont="1" applyFill="1" applyAlignment="1">
      <alignment horizontal="center" vertical="top" wrapText="1"/>
    </xf>
    <xf numFmtId="0" fontId="2" fillId="7" borderId="4" xfId="0" applyFont="1" applyFill="1" applyBorder="1" applyAlignment="1">
      <alignment horizontal="left" vertical="center" wrapText="1"/>
    </xf>
    <xf numFmtId="0" fontId="2" fillId="7" borderId="7" xfId="0" applyFont="1" applyFill="1" applyBorder="1" applyAlignment="1">
      <alignment horizontal="left" vertical="center" wrapText="1"/>
    </xf>
    <xf numFmtId="0" fontId="2" fillId="6" borderId="4"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0" xfId="0" applyFont="1" applyFill="1" applyAlignment="1">
      <alignment horizontal="left" vertical="center" wrapText="1"/>
    </xf>
    <xf numFmtId="0" fontId="5" fillId="0" borderId="0" xfId="0" applyFont="1" applyAlignment="1">
      <alignment horizontal="left" vertical="center" wrapText="1"/>
    </xf>
    <xf numFmtId="0" fontId="2" fillId="0" borderId="0" xfId="0" applyFont="1" applyAlignment="1">
      <alignment horizontal="left" vertical="center" wrapText="1"/>
    </xf>
    <xf numFmtId="0" fontId="2" fillId="7" borderId="8" xfId="0" applyFont="1" applyFill="1" applyBorder="1" applyAlignment="1">
      <alignment horizontal="center" vertical="center" wrapText="1"/>
    </xf>
    <xf numFmtId="0" fontId="0" fillId="0" borderId="5" xfId="0" applyBorder="1" applyAlignment="1">
      <alignment horizontal="left" vertical="center" wrapText="1"/>
    </xf>
    <xf numFmtId="0" fontId="2" fillId="2" borderId="1" xfId="0" applyFont="1" applyFill="1" applyBorder="1" applyAlignment="1">
      <alignment horizontal="center" vertical="center" wrapText="1"/>
    </xf>
    <xf numFmtId="0" fontId="2" fillId="10" borderId="1" xfId="0" applyFont="1" applyFill="1" applyBorder="1" applyAlignment="1" applyProtection="1">
      <alignment horizontal="left" vertical="top" wrapText="1"/>
      <protection locked="0"/>
    </xf>
    <xf numFmtId="0" fontId="11" fillId="12" borderId="1" xfId="0" applyFont="1" applyFill="1" applyBorder="1" applyAlignment="1">
      <alignment horizontal="center" vertical="center" wrapText="1"/>
    </xf>
    <xf numFmtId="0" fontId="2" fillId="10" borderId="8" xfId="0" applyFont="1" applyFill="1" applyBorder="1" applyAlignment="1" applyProtection="1">
      <alignment horizontal="center" vertical="center" wrapText="1"/>
      <protection locked="0"/>
    </xf>
    <xf numFmtId="0" fontId="2" fillId="10" borderId="2" xfId="0" applyFont="1" applyFill="1" applyBorder="1" applyAlignment="1" applyProtection="1">
      <alignment horizontal="left" vertical="top" wrapText="1"/>
      <protection locked="0"/>
    </xf>
    <xf numFmtId="0" fontId="2" fillId="10" borderId="8" xfId="0" applyFont="1" applyFill="1" applyBorder="1" applyAlignment="1" applyProtection="1">
      <alignment horizontal="left" vertical="top" wrapText="1"/>
      <protection locked="0"/>
    </xf>
    <xf numFmtId="0" fontId="2" fillId="10" borderId="3" xfId="0" applyFont="1" applyFill="1" applyBorder="1" applyAlignment="1" applyProtection="1">
      <alignment horizontal="left" vertical="top" wrapText="1"/>
      <protection locked="0"/>
    </xf>
    <xf numFmtId="0" fontId="2" fillId="6" borderId="0" xfId="0" applyFont="1" applyFill="1" applyAlignment="1">
      <alignment horizontal="left" vertical="top" wrapText="1"/>
    </xf>
    <xf numFmtId="0" fontId="2" fillId="2" borderId="3" xfId="0" applyFont="1" applyFill="1" applyBorder="1" applyAlignment="1">
      <alignment horizontal="center" vertical="center" wrapText="1"/>
    </xf>
    <xf numFmtId="0" fontId="5" fillId="18" borderId="0" xfId="0" applyFont="1" applyFill="1" applyAlignment="1">
      <alignment horizontal="left" vertical="center" wrapText="1"/>
    </xf>
    <xf numFmtId="0" fontId="0" fillId="6" borderId="0" xfId="0" applyFill="1" applyAlignment="1">
      <alignment horizontal="left" vertical="center" wrapText="1"/>
    </xf>
    <xf numFmtId="0" fontId="2" fillId="2" borderId="12"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0" xfId="0" applyFont="1" applyFill="1" applyAlignment="1">
      <alignment horizontal="left" vertical="center" wrapText="1"/>
    </xf>
    <xf numFmtId="0" fontId="5" fillId="2" borderId="0" xfId="0" applyFont="1" applyFill="1" applyAlignment="1">
      <alignment horizontal="left" vertical="center" wrapText="1"/>
    </xf>
    <xf numFmtId="0" fontId="0" fillId="6" borderId="0" xfId="0" applyFill="1" applyAlignment="1">
      <alignment horizontal="left" vertical="top" wrapText="1"/>
    </xf>
    <xf numFmtId="0" fontId="2" fillId="7" borderId="2" xfId="0" applyFont="1" applyFill="1" applyBorder="1" applyAlignment="1">
      <alignment horizontal="left" vertical="center" wrapText="1"/>
    </xf>
    <xf numFmtId="0" fontId="2" fillId="7" borderId="3" xfId="0" applyFont="1" applyFill="1" applyBorder="1" applyAlignment="1">
      <alignment horizontal="left" vertical="center" wrapText="1"/>
    </xf>
    <xf numFmtId="0" fontId="0" fillId="6" borderId="5" xfId="0" applyFill="1" applyBorder="1" applyAlignment="1">
      <alignment horizontal="left" vertical="center" wrapText="1"/>
    </xf>
    <xf numFmtId="0" fontId="2" fillId="2" borderId="1" xfId="0" applyFont="1" applyFill="1" applyBorder="1" applyAlignment="1">
      <alignment vertical="center" wrapText="1"/>
    </xf>
    <xf numFmtId="0" fontId="2" fillId="7" borderId="9"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0" fillId="6" borderId="5" xfId="0" applyFill="1" applyBorder="1" applyAlignment="1">
      <alignment horizontal="center" vertical="center" wrapText="1"/>
    </xf>
    <xf numFmtId="0" fontId="0" fillId="6" borderId="0" xfId="0" applyFill="1" applyAlignment="1">
      <alignment horizontal="center" vertical="center" wrapText="1"/>
    </xf>
    <xf numFmtId="0" fontId="0" fillId="6" borderId="10" xfId="0" applyFill="1" applyBorder="1" applyAlignment="1">
      <alignment horizontal="center" vertical="center" wrapText="1"/>
    </xf>
    <xf numFmtId="0" fontId="2" fillId="6" borderId="5" xfId="0" applyFont="1" applyFill="1" applyBorder="1" applyAlignment="1">
      <alignment horizontal="center" vertical="center" wrapText="1"/>
    </xf>
    <xf numFmtId="0" fontId="11" fillId="16" borderId="0" xfId="0" applyFont="1" applyFill="1" applyAlignment="1">
      <alignment horizontal="left" vertical="center" wrapText="1"/>
    </xf>
    <xf numFmtId="0" fontId="5" fillId="7" borderId="1" xfId="0" applyFont="1" applyFill="1" applyBorder="1" applyAlignment="1">
      <alignment horizontal="left" vertical="center" wrapText="1"/>
    </xf>
    <xf numFmtId="0" fontId="2" fillId="2" borderId="4" xfId="0" applyFont="1" applyFill="1" applyBorder="1" applyAlignment="1">
      <alignment vertical="center" wrapText="1"/>
    </xf>
    <xf numFmtId="0" fontId="2" fillId="2" borderId="7" xfId="0" applyFont="1" applyFill="1" applyBorder="1" applyAlignment="1">
      <alignment vertical="center" wrapText="1"/>
    </xf>
    <xf numFmtId="0" fontId="2" fillId="6" borderId="5" xfId="0" applyFont="1" applyFill="1" applyBorder="1" applyAlignment="1">
      <alignment horizontal="left" vertical="center" wrapText="1"/>
    </xf>
    <xf numFmtId="0" fontId="2" fillId="6" borderId="0" xfId="0" applyFont="1" applyFill="1" applyAlignment="1">
      <alignment horizontal="left" wrapText="1"/>
    </xf>
    <xf numFmtId="0" fontId="0" fillId="6" borderId="0" xfId="0" applyFill="1" applyAlignment="1">
      <alignment horizontal="left" wrapText="1"/>
    </xf>
    <xf numFmtId="0" fontId="11" fillId="12" borderId="2" xfId="0" applyFont="1" applyFill="1" applyBorder="1" applyAlignment="1">
      <alignment horizontal="center" vertical="center" wrapText="1"/>
    </xf>
    <xf numFmtId="0" fontId="0" fillId="8" borderId="1" xfId="0" applyFill="1" applyBorder="1" applyAlignment="1">
      <alignment horizontal="center" vertical="center" wrapText="1"/>
    </xf>
    <xf numFmtId="0" fontId="11" fillId="14" borderId="0" xfId="0" applyFont="1" applyFill="1" applyAlignment="1">
      <alignment horizontal="left" vertical="center" wrapText="1"/>
    </xf>
    <xf numFmtId="3" fontId="2" fillId="2" borderId="1" xfId="0" applyNumberFormat="1" applyFont="1" applyFill="1" applyBorder="1" applyAlignment="1">
      <alignment horizontal="center" vertical="center" wrapText="1"/>
    </xf>
    <xf numFmtId="3" fontId="2" fillId="2" borderId="0" xfId="0" applyNumberFormat="1" applyFont="1" applyFill="1" applyAlignment="1">
      <alignment horizontal="center" vertical="center" wrapText="1"/>
    </xf>
    <xf numFmtId="3" fontId="2" fillId="10" borderId="1" xfId="0" applyNumberFormat="1" applyFont="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cellXfs>
  <cellStyles count="1">
    <cellStyle name="Standard" xfId="0" builtinId="0"/>
  </cellStyles>
  <dxfs count="1858">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4.9989318521683403E-2"/>
      </font>
      <fill>
        <patternFill>
          <bgColor theme="0" tint="-4.9989318521683403E-2"/>
        </patternFill>
      </fill>
      <border>
        <left/>
        <right/>
        <top/>
        <bottom/>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FFC0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BCDAC0"/>
        </patternFill>
      </fill>
    </dxf>
    <dxf>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ont>
        <color theme="1"/>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s>
  <tableStyles count="0" defaultTableStyle="TableStyleMedium2" defaultPivotStyle="PivotStyleLight16"/>
  <colors>
    <mruColors>
      <color rgb="FFBCDAC0"/>
      <color rgb="FFE9D1CF"/>
      <color rgb="FFD09D98"/>
      <color rgb="FFFFC680"/>
      <color rgb="FF6085BF"/>
      <color rgb="FF598064"/>
      <color rgb="FFABBEDD"/>
      <color rgb="FF395A8F"/>
      <color rgb="FFBF6A60"/>
      <color rgb="FFCC95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a:t>Automatische Bewertung</a:t>
            </a:r>
          </a:p>
        </c:rich>
      </c:tx>
      <c:layout>
        <c:manualLayout>
          <c:xMode val="edge"/>
          <c:yMode val="edge"/>
          <c:x val="0.18409592742988545"/>
          <c:y val="0.76689927547670322"/>
        </c:manualLayout>
      </c:layout>
      <c:overlay val="0"/>
      <c:spPr>
        <a:solidFill>
          <a:schemeClr val="bg1">
            <a:lumMod val="85000"/>
          </a:schemeClr>
        </a:solidFill>
        <a:ln>
          <a:solidFill>
            <a:schemeClr val="bg1"/>
          </a:solid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853988498921379"/>
          <c:y val="3.8764529761557906E-2"/>
          <c:w val="0.74045487383737862"/>
          <c:h val="0.80543119642822458"/>
        </c:manualLayout>
      </c:layout>
      <c:scatterChart>
        <c:scatterStyle val="lineMarker"/>
        <c:varyColors val="0"/>
        <c:ser>
          <c:idx val="0"/>
          <c:order val="0"/>
          <c:spPr>
            <a:ln w="25400" cap="rnd">
              <a:noFill/>
              <a:round/>
            </a:ln>
            <a:effectLst/>
          </c:spPr>
          <c:marker>
            <c:symbol val="circle"/>
            <c:size val="10"/>
            <c:spPr>
              <a:solidFill>
                <a:srgbClr val="D09D98"/>
              </a:solidFill>
              <a:ln w="9525">
                <a:solidFill>
                  <a:schemeClr val="tx1"/>
                </a:solidFill>
              </a:ln>
              <a:effectLst/>
            </c:spPr>
          </c:marker>
          <c:dLbls>
            <c:dLbl>
              <c:idx val="0"/>
              <c:tx>
                <c:rich>
                  <a:bodyPr/>
                  <a:lstStyle/>
                  <a:p>
                    <a:fld id="{0582EB28-8787-4DB9-A9DC-04D17FC95367}"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2-E772-4200-9F6C-2A2BA775812D}"/>
                </c:ext>
              </c:extLst>
            </c:dLbl>
            <c:dLbl>
              <c:idx val="1"/>
              <c:tx>
                <c:rich>
                  <a:bodyPr/>
                  <a:lstStyle/>
                  <a:p>
                    <a:fld id="{9B9C2984-9CE7-4BAA-81B7-B8076781F459}"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3-E772-4200-9F6C-2A2BA775812D}"/>
                </c:ext>
              </c:extLst>
            </c:dLbl>
            <c:dLbl>
              <c:idx val="2"/>
              <c:tx>
                <c:rich>
                  <a:bodyPr/>
                  <a:lstStyle/>
                  <a:p>
                    <a:fld id="{20E39E45-2CBB-47EB-A48B-9AEC6DAA6776}"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4-E772-4200-9F6C-2A2BA775812D}"/>
                </c:ext>
              </c:extLst>
            </c:dLbl>
            <c:dLbl>
              <c:idx val="3"/>
              <c:tx>
                <c:rich>
                  <a:bodyPr/>
                  <a:lstStyle/>
                  <a:p>
                    <a:fld id="{831769B4-5C6C-4DA0-96B9-128ED41D8E96}"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5-E772-4200-9F6C-2A2BA775812D}"/>
                </c:ext>
              </c:extLst>
            </c:dLbl>
            <c:dLbl>
              <c:idx val="4"/>
              <c:tx>
                <c:rich>
                  <a:bodyPr/>
                  <a:lstStyle/>
                  <a:p>
                    <a:fld id="{8980E689-9BBC-4CCF-B67A-80B73CAAC035}"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6-E772-4200-9F6C-2A2BA775812D}"/>
                </c:ext>
              </c:extLst>
            </c:dLbl>
            <c:spPr>
              <a:noFill/>
              <a:ln>
                <a:noFill/>
              </a:ln>
              <a:effectLst/>
            </c:spPr>
            <c:txPr>
              <a:bodyPr rot="0" spcFirstLastPara="1" vertOverflow="overflow" horzOverflow="overflow" vert="horz" wrap="none" lIns="252000" tIns="72000" rIns="0" bIns="0" anchor="b" anchorCtr="0">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errBars>
            <c:errDir val="x"/>
            <c:errBarType val="both"/>
            <c:errValType val="percentage"/>
            <c:noEndCap val="0"/>
            <c:val val="25"/>
            <c:spPr>
              <a:noFill/>
              <a:ln w="9525" cap="flat" cmpd="sng" algn="ctr">
                <a:solidFill>
                  <a:schemeClr val="tx1"/>
                </a:solidFill>
                <a:round/>
              </a:ln>
              <a:effectLst/>
            </c:spPr>
          </c:errBars>
          <c:xVal>
            <c:numRef>
              <c:f>('(4) Kosten-Nutzen-Analyse'!$J$59,'(4) Kosten-Nutzen-Analyse'!$M$59,'(4) Kosten-Nutzen-Analyse'!$P$59,'(4) Kosten-Nutzen-Analyse'!$S$59,'(4) Kosten-Nutzen-Analyse'!$V$59)</c:f>
              <c:numCache>
                <c:formatCode>#,##0</c:formatCode>
                <c:ptCount val="5"/>
                <c:pt idx="0">
                  <c:v>1292000</c:v>
                </c:pt>
                <c:pt idx="1">
                  <c:v>2154000</c:v>
                </c:pt>
                <c:pt idx="2">
                  <c:v>1616000</c:v>
                </c:pt>
                <c:pt idx="3">
                  <c:v>0</c:v>
                </c:pt>
                <c:pt idx="4">
                  <c:v>0</c:v>
                </c:pt>
              </c:numCache>
            </c:numRef>
          </c:xVal>
          <c:yVal>
            <c:numRef>
              <c:f>('(4) Kosten-Nutzen-Analyse'!$J$39,'(4) Kosten-Nutzen-Analyse'!$M$39,'(4) Kosten-Nutzen-Analyse'!$P$39,'(4) Kosten-Nutzen-Analyse'!$S$39,'(4) Kosten-Nutzen-Analyse'!$V$39)</c:f>
              <c:numCache>
                <c:formatCode>General</c:formatCode>
                <c:ptCount val="5"/>
                <c:pt idx="0">
                  <c:v>1.91</c:v>
                </c:pt>
                <c:pt idx="1">
                  <c:v>2.23</c:v>
                </c:pt>
                <c:pt idx="2">
                  <c:v>1.56</c:v>
                </c:pt>
                <c:pt idx="3">
                  <c:v>-0.1</c:v>
                </c:pt>
                <c:pt idx="4">
                  <c:v>-0.1</c:v>
                </c:pt>
              </c:numCache>
            </c:numRef>
          </c:yVal>
          <c:smooth val="0"/>
          <c:extLst>
            <c:ext xmlns:c15="http://schemas.microsoft.com/office/drawing/2012/chart" uri="{02D57815-91ED-43cb-92C2-25804820EDAC}">
              <c15:datalabelsRange>
                <c15:f>('(4) Kosten-Nutzen-Analyse'!$J$48,'(4) Kosten-Nutzen-Analyse'!$M$48,'(4) Kosten-Nutzen-Analyse'!$P$48,'(4) Kosten-Nutzen-Analyse'!$S$48,'(4) Kosten-Nutzen-Analyse'!$V$48)</c15:f>
                <c15:dlblRangeCache>
                  <c:ptCount val="5"/>
                  <c:pt idx="0">
                    <c:v>V1</c:v>
                  </c:pt>
                  <c:pt idx="1">
                    <c:v>V2</c:v>
                  </c:pt>
                  <c:pt idx="2">
                    <c:v>V3</c:v>
                  </c:pt>
                </c15:dlblRangeCache>
              </c15:datalabelsRange>
            </c:ext>
            <c:ext xmlns:c16="http://schemas.microsoft.com/office/drawing/2014/chart" uri="{C3380CC4-5D6E-409C-BE32-E72D297353CC}">
              <c16:uniqueId val="{00000000-E772-4200-9F6C-2A2BA775812D}"/>
            </c:ext>
          </c:extLst>
        </c:ser>
        <c:dLbls>
          <c:showLegendKey val="0"/>
          <c:showVal val="0"/>
          <c:showCatName val="0"/>
          <c:showSerName val="0"/>
          <c:showPercent val="0"/>
          <c:showBubbleSize val="0"/>
        </c:dLbls>
        <c:axId val="782295472"/>
        <c:axId val="565049328"/>
      </c:scatterChart>
      <c:valAx>
        <c:axId val="782295472"/>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Gesamtkosten ±25% [Mio. CHF]</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049328"/>
        <c:crosses val="autoZero"/>
        <c:crossBetween val="midCat"/>
        <c:dispUnits>
          <c:builtInUnit val="millions"/>
        </c:dispUnits>
      </c:valAx>
      <c:valAx>
        <c:axId val="565049328"/>
        <c:scaling>
          <c:orientation val="minMax"/>
          <c:max val="3"/>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Gesamtpunkte (Funktions-</a:t>
                </a:r>
                <a:r>
                  <a:rPr lang="en-US" baseline="0"/>
                  <a:t> und Umfeldkriterien)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2295472"/>
        <c:crosses val="autoZero"/>
        <c:crossBetween val="midCat"/>
        <c:majorUnit val="1"/>
      </c:valAx>
      <c:spPr>
        <a:no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CH" sz="1000"/>
              <a:t>Benutzerdefinierte Bewertung</a:t>
            </a:r>
          </a:p>
        </c:rich>
      </c:tx>
      <c:layout>
        <c:manualLayout>
          <c:xMode val="edge"/>
          <c:yMode val="edge"/>
          <c:x val="0.17592859759712107"/>
          <c:y val="0.77290682915524789"/>
        </c:manualLayout>
      </c:layout>
      <c:overlay val="0"/>
      <c:spPr>
        <a:solidFill>
          <a:schemeClr val="bg1">
            <a:lumMod val="85000"/>
          </a:schemeClr>
        </a:solidFill>
        <a:ln>
          <a:solidFill>
            <a:schemeClr val="bg1"/>
          </a:solid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853988498921379"/>
          <c:y val="3.8764529761557906E-2"/>
          <c:w val="0.74045487383737862"/>
          <c:h val="0.80543119642822458"/>
        </c:manualLayout>
      </c:layout>
      <c:scatterChart>
        <c:scatterStyle val="lineMarker"/>
        <c:varyColors val="0"/>
        <c:ser>
          <c:idx val="0"/>
          <c:order val="0"/>
          <c:spPr>
            <a:ln w="25400" cap="rnd">
              <a:noFill/>
              <a:round/>
            </a:ln>
            <a:effectLst/>
          </c:spPr>
          <c:marker>
            <c:symbol val="circle"/>
            <c:size val="10"/>
            <c:spPr>
              <a:solidFill>
                <a:srgbClr val="E9D1CF"/>
              </a:solidFill>
              <a:ln w="9525">
                <a:solidFill>
                  <a:schemeClr val="tx1"/>
                </a:solidFill>
              </a:ln>
              <a:effectLst/>
            </c:spPr>
          </c:marker>
          <c:dLbls>
            <c:dLbl>
              <c:idx val="0"/>
              <c:tx>
                <c:rich>
                  <a:bodyPr/>
                  <a:lstStyle/>
                  <a:p>
                    <a:fld id="{B9DCBDDB-9A35-4712-B9A2-ACD06E463A24}"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0-16A5-40F9-AA42-06CA82776043}"/>
                </c:ext>
              </c:extLst>
            </c:dLbl>
            <c:dLbl>
              <c:idx val="1"/>
              <c:tx>
                <c:rich>
                  <a:bodyPr/>
                  <a:lstStyle/>
                  <a:p>
                    <a:fld id="{76F68563-0697-4DB5-85B7-1840E68261DC}"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1-16A5-40F9-AA42-06CA82776043}"/>
                </c:ext>
              </c:extLst>
            </c:dLbl>
            <c:dLbl>
              <c:idx val="2"/>
              <c:tx>
                <c:rich>
                  <a:bodyPr/>
                  <a:lstStyle/>
                  <a:p>
                    <a:fld id="{97739B5E-B71B-49C7-A3C0-6ABCAC1479C3}"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2-16A5-40F9-AA42-06CA82776043}"/>
                </c:ext>
              </c:extLst>
            </c:dLbl>
            <c:dLbl>
              <c:idx val="3"/>
              <c:tx>
                <c:rich>
                  <a:bodyPr/>
                  <a:lstStyle/>
                  <a:p>
                    <a:fld id="{55C3CC15-8914-46F6-9A55-39084C1299FF}"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3-16A5-40F9-AA42-06CA82776043}"/>
                </c:ext>
              </c:extLst>
            </c:dLbl>
            <c:dLbl>
              <c:idx val="4"/>
              <c:tx>
                <c:rich>
                  <a:bodyPr/>
                  <a:lstStyle/>
                  <a:p>
                    <a:fld id="{66E25E47-8087-4D45-8C48-FEC17FC892AF}"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4-16A5-40F9-AA42-06CA82776043}"/>
                </c:ext>
              </c:extLst>
            </c:dLbl>
            <c:spPr>
              <a:noFill/>
              <a:ln>
                <a:noFill/>
              </a:ln>
              <a:effectLst/>
            </c:spPr>
            <c:txPr>
              <a:bodyPr rot="0" spcFirstLastPara="1" vertOverflow="overflow" horzOverflow="overflow" vert="horz" wrap="none" lIns="252000" tIns="72000" rIns="0" bIns="0" anchor="b" anchorCtr="0">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errBars>
            <c:errDir val="x"/>
            <c:errBarType val="both"/>
            <c:errValType val="percentage"/>
            <c:noEndCap val="0"/>
            <c:val val="25"/>
            <c:spPr>
              <a:noFill/>
              <a:ln w="9525" cap="flat" cmpd="sng" algn="ctr">
                <a:solidFill>
                  <a:schemeClr val="tx1"/>
                </a:solidFill>
                <a:round/>
              </a:ln>
              <a:effectLst/>
            </c:spPr>
          </c:errBars>
          <c:xVal>
            <c:numRef>
              <c:f>('(4) Kosten-Nutzen-Analyse'!$J$59,'(4) Kosten-Nutzen-Analyse'!$M$59,'(4) Kosten-Nutzen-Analyse'!$P$59,'(4) Kosten-Nutzen-Analyse'!$S$59,'(4) Kosten-Nutzen-Analyse'!$V$59)</c:f>
              <c:numCache>
                <c:formatCode>#,##0</c:formatCode>
                <c:ptCount val="5"/>
                <c:pt idx="0">
                  <c:v>1292000</c:v>
                </c:pt>
                <c:pt idx="1">
                  <c:v>2154000</c:v>
                </c:pt>
                <c:pt idx="2">
                  <c:v>1616000</c:v>
                </c:pt>
                <c:pt idx="3">
                  <c:v>0</c:v>
                </c:pt>
                <c:pt idx="4">
                  <c:v>0</c:v>
                </c:pt>
              </c:numCache>
            </c:numRef>
          </c:xVal>
          <c:yVal>
            <c:numRef>
              <c:f>('(4) Kosten-Nutzen-Analyse'!$K$39,'(4) Kosten-Nutzen-Analyse'!$N$39,'(4) Kosten-Nutzen-Analyse'!$Q$39,'(4) Kosten-Nutzen-Analyse'!$T$39,'(4) Kosten-Nutzen-Analyse'!$W$39)</c:f>
              <c:numCache>
                <c:formatCode>General</c:formatCode>
                <c:ptCount val="5"/>
                <c:pt idx="0">
                  <c:v>2.19</c:v>
                </c:pt>
                <c:pt idx="1">
                  <c:v>1.67</c:v>
                </c:pt>
                <c:pt idx="2">
                  <c:v>1.8</c:v>
                </c:pt>
                <c:pt idx="3">
                  <c:v>-0.1</c:v>
                </c:pt>
                <c:pt idx="4">
                  <c:v>-0.1</c:v>
                </c:pt>
              </c:numCache>
            </c:numRef>
          </c:yVal>
          <c:smooth val="0"/>
          <c:extLst>
            <c:ext xmlns:c15="http://schemas.microsoft.com/office/drawing/2012/chart" uri="{02D57815-91ED-43cb-92C2-25804820EDAC}">
              <c15:datalabelsRange>
                <c15:f>('(4) Kosten-Nutzen-Analyse'!$J$48,'(4) Kosten-Nutzen-Analyse'!$M$48,'(4) Kosten-Nutzen-Analyse'!$P$48,'(4) Kosten-Nutzen-Analyse'!$S$48,'(4) Kosten-Nutzen-Analyse'!$V$48)</c15:f>
                <c15:dlblRangeCache>
                  <c:ptCount val="5"/>
                  <c:pt idx="0">
                    <c:v>V1</c:v>
                  </c:pt>
                  <c:pt idx="1">
                    <c:v>V2</c:v>
                  </c:pt>
                  <c:pt idx="2">
                    <c:v>V3</c:v>
                  </c:pt>
                </c15:dlblRangeCache>
              </c15:datalabelsRange>
            </c:ext>
            <c:ext xmlns:c16="http://schemas.microsoft.com/office/drawing/2014/chart" uri="{C3380CC4-5D6E-409C-BE32-E72D297353CC}">
              <c16:uniqueId val="{00000009-1586-4CF0-8155-8D05D76A5BF1}"/>
            </c:ext>
          </c:extLst>
        </c:ser>
        <c:dLbls>
          <c:showLegendKey val="0"/>
          <c:showVal val="0"/>
          <c:showCatName val="0"/>
          <c:showSerName val="0"/>
          <c:showPercent val="0"/>
          <c:showBubbleSize val="0"/>
        </c:dLbls>
        <c:axId val="782295472"/>
        <c:axId val="565049328"/>
      </c:scatterChart>
      <c:valAx>
        <c:axId val="782295472"/>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Gesamtkosten </a:t>
                </a:r>
                <a:r>
                  <a:rPr lang="en-US" sz="1000" b="0" i="0" u="none" strike="noStrike" baseline="0">
                    <a:effectLst/>
                  </a:rPr>
                  <a:t>±25%</a:t>
                </a:r>
                <a:r>
                  <a:rPr lang="en-US"/>
                  <a:t> [Mio. CHF]</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049328"/>
        <c:crosses val="autoZero"/>
        <c:crossBetween val="midCat"/>
        <c:dispUnits>
          <c:builtInUnit val="millions"/>
        </c:dispUnits>
      </c:valAx>
      <c:valAx>
        <c:axId val="565049328"/>
        <c:scaling>
          <c:orientation val="minMax"/>
          <c:max val="3"/>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Gesamtpunkte (Funktions-</a:t>
                </a:r>
                <a:r>
                  <a:rPr lang="en-US" baseline="0"/>
                  <a:t> und Umfeldkriterien)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2295472"/>
        <c:crosses val="autoZero"/>
        <c:crossBetween val="midCat"/>
        <c:majorUnit val="1"/>
      </c:valAx>
      <c:spPr>
        <a:no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C$13" noThreeD="1"/>
</file>

<file path=xl/ctrlProps/ctrlProp10.xml><?xml version="1.0" encoding="utf-8"?>
<formControlPr xmlns="http://schemas.microsoft.com/office/spreadsheetml/2009/9/main" objectType="CheckBox" fmlaLink="$H$49" lockText="1" noThreeD="1"/>
</file>

<file path=xl/ctrlProps/ctrlProp11.xml><?xml version="1.0" encoding="utf-8"?>
<formControlPr xmlns="http://schemas.microsoft.com/office/spreadsheetml/2009/9/main" objectType="CheckBox" fmlaLink="$V$49" lockText="1" noThreeD="1"/>
</file>

<file path=xl/ctrlProps/ctrlProp12.xml><?xml version="1.0" encoding="utf-8"?>
<formControlPr xmlns="http://schemas.microsoft.com/office/spreadsheetml/2009/9/main" objectType="CheckBox" fmlaLink="$R$49" lockText="1" noThreeD="1"/>
</file>

<file path=xl/ctrlProps/ctrlProp13.xml><?xml version="1.0" encoding="utf-8"?>
<formControlPr xmlns="http://schemas.microsoft.com/office/spreadsheetml/2009/9/main" objectType="CheckBox" checked="Checked" fmlaLink="$L$49" lockText="1" noThreeD="1"/>
</file>

<file path=xl/ctrlProps/ctrlProp14.xml><?xml version="1.0" encoding="utf-8"?>
<formControlPr xmlns="http://schemas.microsoft.com/office/spreadsheetml/2009/9/main" objectType="CheckBox" fmlaLink="$Y$49" lockText="1" noThreeD="1"/>
</file>

<file path=xl/ctrlProps/ctrlProp2.xml><?xml version="1.0" encoding="utf-8"?>
<formControlPr xmlns="http://schemas.microsoft.com/office/spreadsheetml/2009/9/main" objectType="CheckBox" checked="Checked" fmlaLink="$C$16" lockText="1" noThreeD="1"/>
</file>

<file path=xl/ctrlProps/ctrlProp3.xml><?xml version="1.0" encoding="utf-8"?>
<formControlPr xmlns="http://schemas.microsoft.com/office/spreadsheetml/2009/9/main" objectType="CheckBox" checked="Checked" fmlaLink="$C$19" lockText="1" noThreeD="1"/>
</file>

<file path=xl/ctrlProps/ctrlProp4.xml><?xml version="1.0" encoding="utf-8"?>
<formControlPr xmlns="http://schemas.microsoft.com/office/spreadsheetml/2009/9/main" objectType="CheckBox" checked="Checked" fmlaLink="$C$22" lockText="1" noThreeD="1"/>
</file>

<file path=xl/ctrlProps/ctrlProp5.xml><?xml version="1.0" encoding="utf-8"?>
<formControlPr xmlns="http://schemas.microsoft.com/office/spreadsheetml/2009/9/main" objectType="CheckBox" checked="Checked" fmlaLink="$C$25" lockText="1" noThreeD="1"/>
</file>

<file path=xl/ctrlProps/ctrlProp6.xml><?xml version="1.0" encoding="utf-8"?>
<formControlPr xmlns="http://schemas.microsoft.com/office/spreadsheetml/2009/9/main" objectType="CheckBox" checked="Checked" fmlaLink="$C$28" lockText="1" noThreeD="1"/>
</file>

<file path=xl/ctrlProps/ctrlProp7.xml><?xml version="1.0" encoding="utf-8"?>
<formControlPr xmlns="http://schemas.microsoft.com/office/spreadsheetml/2009/9/main" objectType="CheckBox" checked="Checked" fmlaLink="$C$34" lockText="1" noThreeD="1"/>
</file>

<file path=xl/ctrlProps/ctrlProp8.xml><?xml version="1.0" encoding="utf-8"?>
<formControlPr xmlns="http://schemas.microsoft.com/office/spreadsheetml/2009/9/main" objectType="CheckBox" checked="Checked" fmlaLink="$C$36" lockText="1" noThreeD="1"/>
</file>

<file path=xl/ctrlProps/ctrlProp9.xml><?xml version="1.0" encoding="utf-8"?>
<formControlPr xmlns="http://schemas.microsoft.com/office/spreadsheetml/2009/9/main" objectType="CheckBox" checked="Checked" fmlaLink="$C$3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png"/><Relationship Id="rId9"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198293</xdr:colOff>
      <xdr:row>22</xdr:row>
      <xdr:rowOff>106680</xdr:rowOff>
    </xdr:from>
    <xdr:to>
      <xdr:col>12</xdr:col>
      <xdr:colOff>232384</xdr:colOff>
      <xdr:row>72</xdr:row>
      <xdr:rowOff>91441</xdr:rowOff>
    </xdr:to>
    <xdr:pic>
      <xdr:nvPicPr>
        <xdr:cNvPr id="3" name="Grafik 2" descr="Ein Bild, das Text, Screenshot, Diagramm, parallel enthält.&#10;&#10;Automatisch generierte Beschreibu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98293" y="3897630"/>
          <a:ext cx="9406691" cy="85515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xdr:colOff>
          <xdr:row>11</xdr:row>
          <xdr:rowOff>129540</xdr:rowOff>
        </xdr:from>
        <xdr:to>
          <xdr:col>4</xdr:col>
          <xdr:colOff>53340</xdr:colOff>
          <xdr:row>13</xdr:row>
          <xdr:rowOff>68580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14</xdr:row>
          <xdr:rowOff>129540</xdr:rowOff>
        </xdr:from>
        <xdr:to>
          <xdr:col>4</xdr:col>
          <xdr:colOff>53340</xdr:colOff>
          <xdr:row>16</xdr:row>
          <xdr:rowOff>68580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160020</xdr:rowOff>
        </xdr:from>
        <xdr:to>
          <xdr:col>4</xdr:col>
          <xdr:colOff>60960</xdr:colOff>
          <xdr:row>19</xdr:row>
          <xdr:rowOff>68580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160020</xdr:rowOff>
        </xdr:from>
        <xdr:to>
          <xdr:col>4</xdr:col>
          <xdr:colOff>76200</xdr:colOff>
          <xdr:row>22</xdr:row>
          <xdr:rowOff>76200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152400</xdr:rowOff>
        </xdr:from>
        <xdr:to>
          <xdr:col>4</xdr:col>
          <xdr:colOff>53340</xdr:colOff>
          <xdr:row>25</xdr:row>
          <xdr:rowOff>83820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152400</xdr:rowOff>
        </xdr:from>
        <xdr:to>
          <xdr:col>4</xdr:col>
          <xdr:colOff>60960</xdr:colOff>
          <xdr:row>28</xdr:row>
          <xdr:rowOff>68580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121920</xdr:rowOff>
        </xdr:from>
        <xdr:to>
          <xdr:col>4</xdr:col>
          <xdr:colOff>60960</xdr:colOff>
          <xdr:row>34</xdr:row>
          <xdr:rowOff>60960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129540</xdr:rowOff>
        </xdr:from>
        <xdr:to>
          <xdr:col>4</xdr:col>
          <xdr:colOff>60960</xdr:colOff>
          <xdr:row>36</xdr:row>
          <xdr:rowOff>45720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137160</xdr:rowOff>
        </xdr:from>
        <xdr:to>
          <xdr:col>4</xdr:col>
          <xdr:colOff>60960</xdr:colOff>
          <xdr:row>38</xdr:row>
          <xdr:rowOff>68580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46</xdr:row>
          <xdr:rowOff>160020</xdr:rowOff>
        </xdr:from>
        <xdr:to>
          <xdr:col>7</xdr:col>
          <xdr:colOff>289560</xdr:colOff>
          <xdr:row>46</xdr:row>
          <xdr:rowOff>480060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46</xdr:row>
          <xdr:rowOff>152400</xdr:rowOff>
        </xdr:from>
        <xdr:to>
          <xdr:col>21</xdr:col>
          <xdr:colOff>213360</xdr:colOff>
          <xdr:row>46</xdr:row>
          <xdr:rowOff>487680</xdr:rowOff>
        </xdr:to>
        <xdr:sp macro="" textlink="">
          <xdr:nvSpPr>
            <xdr:cNvPr id="6156" name="Check Box 12" descr="Ausleitungskraftwerk"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46</xdr:row>
          <xdr:rowOff>152400</xdr:rowOff>
        </xdr:from>
        <xdr:to>
          <xdr:col>17</xdr:col>
          <xdr:colOff>297180</xdr:colOff>
          <xdr:row>46</xdr:row>
          <xdr:rowOff>487680</xdr:rowOff>
        </xdr:to>
        <xdr:sp macro="" textlink="">
          <xdr:nvSpPr>
            <xdr:cNvPr id="6157" name="Check Box 13" descr="Ausleitungskraftwerk"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121920</xdr:rowOff>
        </xdr:from>
        <xdr:to>
          <xdr:col>11</xdr:col>
          <xdr:colOff>327660</xdr:colOff>
          <xdr:row>46</xdr:row>
          <xdr:rowOff>518160</xdr:rowOff>
        </xdr:to>
        <xdr:sp macro="" textlink="">
          <xdr:nvSpPr>
            <xdr:cNvPr id="6158" name="Check Box 14" descr="Ausleitungskraftwerk"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46</xdr:row>
          <xdr:rowOff>152400</xdr:rowOff>
        </xdr:from>
        <xdr:to>
          <xdr:col>25</xdr:col>
          <xdr:colOff>99060</xdr:colOff>
          <xdr:row>46</xdr:row>
          <xdr:rowOff>487680</xdr:rowOff>
        </xdr:to>
        <xdr:sp macro="" textlink="">
          <xdr:nvSpPr>
            <xdr:cNvPr id="6162" name="Check Box 18" descr="Ausleitungskraftwerk"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7</xdr:col>
      <xdr:colOff>76199</xdr:colOff>
      <xdr:row>47</xdr:row>
      <xdr:rowOff>76521</xdr:rowOff>
    </xdr:from>
    <xdr:to>
      <xdr:col>10</xdr:col>
      <xdr:colOff>38101</xdr:colOff>
      <xdr:row>47</xdr:row>
      <xdr:rowOff>1902056</xdr:rowOff>
    </xdr:to>
    <xdr:pic>
      <xdr:nvPicPr>
        <xdr:cNvPr id="6" name="Grafik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234542" y="10423392"/>
          <a:ext cx="1817915" cy="1817915"/>
        </a:xfrm>
        <a:prstGeom prst="rect">
          <a:avLst/>
        </a:prstGeom>
      </xdr:spPr>
    </xdr:pic>
    <xdr:clientData/>
  </xdr:twoCellAnchor>
  <xdr:twoCellAnchor editAs="oneCell">
    <xdr:from>
      <xdr:col>11</xdr:col>
      <xdr:colOff>337457</xdr:colOff>
      <xdr:row>47</xdr:row>
      <xdr:rowOff>70757</xdr:rowOff>
    </xdr:from>
    <xdr:to>
      <xdr:col>15</xdr:col>
      <xdr:colOff>498921</xdr:colOff>
      <xdr:row>47</xdr:row>
      <xdr:rowOff>1902092</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6466114" y="10417628"/>
          <a:ext cx="1818000" cy="1818000"/>
        </a:xfrm>
        <a:prstGeom prst="rect">
          <a:avLst/>
        </a:prstGeom>
      </xdr:spPr>
    </xdr:pic>
    <xdr:clientData/>
  </xdr:twoCellAnchor>
  <xdr:twoCellAnchor editAs="oneCell">
    <xdr:from>
      <xdr:col>17</xdr:col>
      <xdr:colOff>440871</xdr:colOff>
      <xdr:row>47</xdr:row>
      <xdr:rowOff>70757</xdr:rowOff>
    </xdr:from>
    <xdr:to>
      <xdr:col>19</xdr:col>
      <xdr:colOff>987693</xdr:colOff>
      <xdr:row>47</xdr:row>
      <xdr:rowOff>1902092</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9051471" y="10417628"/>
          <a:ext cx="1818000" cy="1818000"/>
        </a:xfrm>
        <a:prstGeom prst="rect">
          <a:avLst/>
        </a:prstGeom>
      </xdr:spPr>
    </xdr:pic>
    <xdr:clientData/>
  </xdr:twoCellAnchor>
  <xdr:twoCellAnchor editAs="oneCell">
    <xdr:from>
      <xdr:col>21</xdr:col>
      <xdr:colOff>429986</xdr:colOff>
      <xdr:row>47</xdr:row>
      <xdr:rowOff>81644</xdr:rowOff>
    </xdr:from>
    <xdr:to>
      <xdr:col>23</xdr:col>
      <xdr:colOff>841553</xdr:colOff>
      <xdr:row>47</xdr:row>
      <xdr:rowOff>1901829</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11723915" y="10428515"/>
          <a:ext cx="1818000" cy="1812565"/>
        </a:xfrm>
        <a:prstGeom prst="rect">
          <a:avLst/>
        </a:prstGeom>
      </xdr:spPr>
    </xdr:pic>
    <xdr:clientData/>
  </xdr:twoCellAnchor>
  <xdr:twoCellAnchor editAs="oneCell">
    <xdr:from>
      <xdr:col>25</xdr:col>
      <xdr:colOff>381000</xdr:colOff>
      <xdr:row>47</xdr:row>
      <xdr:rowOff>76200</xdr:rowOff>
    </xdr:from>
    <xdr:to>
      <xdr:col>27</xdr:col>
      <xdr:colOff>802912</xdr:colOff>
      <xdr:row>47</xdr:row>
      <xdr:rowOff>1901820</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14472557" y="10423071"/>
          <a:ext cx="1820726" cy="181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42077</xdr:colOff>
      <xdr:row>9</xdr:row>
      <xdr:rowOff>43752</xdr:rowOff>
    </xdr:from>
    <xdr:to>
      <xdr:col>5</xdr:col>
      <xdr:colOff>1621931</xdr:colOff>
      <xdr:row>9</xdr:row>
      <xdr:rowOff>1470417</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311748" y="3940838"/>
          <a:ext cx="1583664" cy="1438095"/>
        </a:xfrm>
        <a:prstGeom prst="rect">
          <a:avLst/>
        </a:prstGeom>
      </xdr:spPr>
    </xdr:pic>
    <xdr:clientData/>
  </xdr:twoCellAnchor>
  <xdr:twoCellAnchor>
    <xdr:from>
      <xdr:col>5</xdr:col>
      <xdr:colOff>36383</xdr:colOff>
      <xdr:row>10</xdr:row>
      <xdr:rowOff>41826</xdr:rowOff>
    </xdr:from>
    <xdr:to>
      <xdr:col>5</xdr:col>
      <xdr:colOff>2301810</xdr:colOff>
      <xdr:row>10</xdr:row>
      <xdr:rowOff>1466586</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2306054" y="2414912"/>
          <a:ext cx="2261617" cy="1438095"/>
        </a:xfrm>
        <a:prstGeom prst="rect">
          <a:avLst/>
        </a:prstGeom>
      </xdr:spPr>
    </xdr:pic>
    <xdr:clientData/>
  </xdr:twoCellAnchor>
  <xdr:twoCellAnchor>
    <xdr:from>
      <xdr:col>5</xdr:col>
      <xdr:colOff>42077</xdr:colOff>
      <xdr:row>9</xdr:row>
      <xdr:rowOff>43752</xdr:rowOff>
    </xdr:from>
    <xdr:to>
      <xdr:col>5</xdr:col>
      <xdr:colOff>1621931</xdr:colOff>
      <xdr:row>9</xdr:row>
      <xdr:rowOff>1470417</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301407" y="4274757"/>
          <a:ext cx="1574139" cy="1420950"/>
        </a:xfrm>
        <a:prstGeom prst="rect">
          <a:avLst/>
        </a:prstGeom>
      </xdr:spPr>
    </xdr:pic>
    <xdr:clientData/>
  </xdr:twoCellAnchor>
  <xdr:twoCellAnchor>
    <xdr:from>
      <xdr:col>5</xdr:col>
      <xdr:colOff>56689</xdr:colOff>
      <xdr:row>8</xdr:row>
      <xdr:rowOff>50564</xdr:rowOff>
    </xdr:from>
    <xdr:to>
      <xdr:col>5</xdr:col>
      <xdr:colOff>2280003</xdr:colOff>
      <xdr:row>8</xdr:row>
      <xdr:rowOff>1525181</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07597" y="1569551"/>
          <a:ext cx="2223314" cy="1474617"/>
        </a:xfrm>
        <a:prstGeom prst="rect">
          <a:avLst/>
        </a:prstGeom>
      </xdr:spPr>
    </xdr:pic>
    <xdr:clientData/>
  </xdr:twoCellAnchor>
  <xdr:twoCellAnchor>
    <xdr:from>
      <xdr:col>5</xdr:col>
      <xdr:colOff>36383</xdr:colOff>
      <xdr:row>10</xdr:row>
      <xdr:rowOff>41826</xdr:rowOff>
    </xdr:from>
    <xdr:to>
      <xdr:col>5</xdr:col>
      <xdr:colOff>2301810</xdr:colOff>
      <xdr:row>10</xdr:row>
      <xdr:rowOff>1466586</xdr:rowOff>
    </xdr:to>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293808" y="2746926"/>
          <a:ext cx="2269237" cy="1428570"/>
        </a:xfrm>
        <a:prstGeom prst="rect">
          <a:avLst/>
        </a:prstGeom>
      </xdr:spPr>
    </xdr:pic>
    <xdr:clientData/>
  </xdr:twoCellAnchor>
  <xdr:twoCellAnchor>
    <xdr:from>
      <xdr:col>10</xdr:col>
      <xdr:colOff>47626</xdr:colOff>
      <xdr:row>11</xdr:row>
      <xdr:rowOff>47625</xdr:rowOff>
    </xdr:from>
    <xdr:to>
      <xdr:col>11</xdr:col>
      <xdr:colOff>68673</xdr:colOff>
      <xdr:row>11</xdr:row>
      <xdr:rowOff>1485720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8279131" y="5802630"/>
          <a:ext cx="2360387" cy="1436190"/>
        </a:xfrm>
        <a:prstGeom prst="rect">
          <a:avLst/>
        </a:prstGeom>
      </xdr:spPr>
    </xdr:pic>
    <xdr:clientData/>
  </xdr:twoCellAnchor>
  <xdr:twoCellAnchor editAs="oneCell">
    <xdr:from>
      <xdr:col>2</xdr:col>
      <xdr:colOff>205345</xdr:colOff>
      <xdr:row>16</xdr:row>
      <xdr:rowOff>76694</xdr:rowOff>
    </xdr:from>
    <xdr:to>
      <xdr:col>12</xdr:col>
      <xdr:colOff>759455</xdr:colOff>
      <xdr:row>16</xdr:row>
      <xdr:rowOff>3394155</xdr:rowOff>
    </xdr:to>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a:stretch>
          <a:fillRect/>
        </a:stretch>
      </xdr:blipFill>
      <xdr:spPr>
        <a:xfrm>
          <a:off x="695202" y="8309015"/>
          <a:ext cx="10446503" cy="3326986"/>
        </a:xfrm>
        <a:prstGeom prst="rect">
          <a:avLst/>
        </a:prstGeom>
      </xdr:spPr>
    </xdr:pic>
    <xdr:clientData/>
  </xdr:twoCellAnchor>
  <xdr:twoCellAnchor>
    <xdr:from>
      <xdr:col>5</xdr:col>
      <xdr:colOff>27541</xdr:colOff>
      <xdr:row>11</xdr:row>
      <xdr:rowOff>34401</xdr:rowOff>
    </xdr:from>
    <xdr:to>
      <xdr:col>5</xdr:col>
      <xdr:colOff>2301934</xdr:colOff>
      <xdr:row>11</xdr:row>
      <xdr:rowOff>1508961</xdr:rowOff>
    </xdr:to>
    <xdr:pic>
      <xdr:nvPicPr>
        <xdr:cNvPr id="20" name="Grafik 19" descr="Ökologische Bauaufsicht KW Burgau - Flusslauf e.U.">
          <a:extLst>
            <a:ext uri="{FF2B5EF4-FFF2-40B4-BE49-F238E27FC236}">
              <a16:creationId xmlns:a16="http://schemas.microsoft.com/office/drawing/2014/main" id="{00000000-0008-0000-0200-000014000000}"/>
            </a:ext>
          </a:extLst>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2278449" y="6862322"/>
          <a:ext cx="2274393" cy="1474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46321</xdr:colOff>
      <xdr:row>9</xdr:row>
      <xdr:rowOff>39404</xdr:rowOff>
    </xdr:from>
    <xdr:to>
      <xdr:col>11</xdr:col>
      <xdr:colOff>57790</xdr:colOff>
      <xdr:row>9</xdr:row>
      <xdr:rowOff>1518985</xdr:rowOff>
    </xdr:to>
    <xdr:pic>
      <xdr:nvPicPr>
        <xdr:cNvPr id="23" name="Grafik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8262887" y="3328036"/>
          <a:ext cx="2352614" cy="1479581"/>
        </a:xfrm>
        <a:prstGeom prst="rect">
          <a:avLst/>
        </a:prstGeom>
      </xdr:spPr>
    </xdr:pic>
    <xdr:clientData/>
  </xdr:twoCellAnchor>
  <xdr:oneCellAnchor>
    <xdr:from>
      <xdr:col>10</xdr:col>
      <xdr:colOff>44276</xdr:colOff>
      <xdr:row>8</xdr:row>
      <xdr:rowOff>55079</xdr:rowOff>
    </xdr:from>
    <xdr:ext cx="2372017" cy="1504013"/>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8260842" y="1574066"/>
          <a:ext cx="2372017" cy="1504013"/>
        </a:xfrm>
        <a:prstGeom prst="rect">
          <a:avLst/>
        </a:prstGeom>
      </xdr:spPr>
    </xdr:pic>
    <xdr:clientData/>
  </xdr:oneCellAnchor>
  <xdr:twoCellAnchor>
    <xdr:from>
      <xdr:col>10</xdr:col>
      <xdr:colOff>44074</xdr:colOff>
      <xdr:row>10</xdr:row>
      <xdr:rowOff>57504</xdr:rowOff>
    </xdr:from>
    <xdr:to>
      <xdr:col>10</xdr:col>
      <xdr:colOff>1751135</xdr:colOff>
      <xdr:row>10</xdr:row>
      <xdr:rowOff>1606910</xdr:rowOff>
    </xdr:to>
    <xdr:pic>
      <xdr:nvPicPr>
        <xdr:cNvPr id="25" name="Grafik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8286862" y="5105754"/>
          <a:ext cx="1707061" cy="15494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140</xdr:colOff>
      <xdr:row>66</xdr:row>
      <xdr:rowOff>60498</xdr:rowOff>
    </xdr:from>
    <xdr:to>
      <xdr:col>6</xdr:col>
      <xdr:colOff>288189</xdr:colOff>
      <xdr:row>90</xdr:row>
      <xdr:rowOff>65331</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45903</xdr:colOff>
      <xdr:row>66</xdr:row>
      <xdr:rowOff>61247</xdr:rowOff>
    </xdr:from>
    <xdr:to>
      <xdr:col>13</xdr:col>
      <xdr:colOff>73811</xdr:colOff>
      <xdr:row>90</xdr:row>
      <xdr:rowOff>58879</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2.xml"/><Relationship Id="rId16" Type="http://schemas.openxmlformats.org/officeDocument/2006/relationships/ctrlProp" Target="../ctrlProps/ctrlProp1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B2458-609D-42B7-8B22-FE983FD3C128}">
  <sheetPr codeName="Tabelle2">
    <tabColor theme="0" tint="-0.34998626667073579"/>
  </sheetPr>
  <dimension ref="A1:K21"/>
  <sheetViews>
    <sheetView tabSelected="1" zoomScaleNormal="100" workbookViewId="0"/>
  </sheetViews>
  <sheetFormatPr baseColWidth="10" defaultColWidth="11.44140625" defaultRowHeight="13.2" x14ac:dyDescent="0.25"/>
  <cols>
    <col min="1" max="16384" width="11.44140625" style="134"/>
  </cols>
  <sheetData>
    <row r="1" spans="1:8" ht="21" x14ac:dyDescent="0.25">
      <c r="A1" s="44" t="s">
        <v>506</v>
      </c>
    </row>
    <row r="3" spans="1:8" x14ac:dyDescent="0.25">
      <c r="A3" s="135" t="s">
        <v>507</v>
      </c>
      <c r="C3" s="111" t="s">
        <v>508</v>
      </c>
    </row>
    <row r="4" spans="1:8" x14ac:dyDescent="0.25">
      <c r="C4" s="111" t="s">
        <v>509</v>
      </c>
    </row>
    <row r="5" spans="1:8" x14ac:dyDescent="0.25">
      <c r="A5" s="135"/>
      <c r="C5" s="111" t="s">
        <v>510</v>
      </c>
      <c r="H5" s="135"/>
    </row>
    <row r="6" spans="1:8" x14ac:dyDescent="0.25">
      <c r="C6" s="111" t="s">
        <v>511</v>
      </c>
      <c r="E6" s="136"/>
    </row>
    <row r="7" spans="1:8" x14ac:dyDescent="0.25">
      <c r="C7" s="111" t="s">
        <v>512</v>
      </c>
    </row>
    <row r="9" spans="1:8" x14ac:dyDescent="0.25">
      <c r="A9" s="135" t="s">
        <v>513</v>
      </c>
      <c r="C9" s="111" t="s">
        <v>514</v>
      </c>
    </row>
    <row r="10" spans="1:8" x14ac:dyDescent="0.25">
      <c r="C10" s="111" t="s">
        <v>515</v>
      </c>
    </row>
    <row r="12" spans="1:8" x14ac:dyDescent="0.25">
      <c r="A12" s="135" t="s">
        <v>516</v>
      </c>
      <c r="C12" s="111" t="s">
        <v>517</v>
      </c>
    </row>
    <row r="13" spans="1:8" x14ac:dyDescent="0.25">
      <c r="A13" s="135" t="s">
        <v>518</v>
      </c>
      <c r="C13" s="188">
        <v>45434</v>
      </c>
    </row>
    <row r="17" spans="1:11" ht="21" x14ac:dyDescent="0.25">
      <c r="A17" s="44" t="s">
        <v>519</v>
      </c>
    </row>
    <row r="19" spans="1:11" x14ac:dyDescent="0.25">
      <c r="A19" s="111" t="s">
        <v>520</v>
      </c>
      <c r="H19" s="212"/>
      <c r="I19" s="212"/>
      <c r="J19" s="111"/>
      <c r="K19" s="111"/>
    </row>
    <row r="21" spans="1:11" ht="13.8" x14ac:dyDescent="0.25">
      <c r="A21" s="149" t="s">
        <v>234</v>
      </c>
    </row>
  </sheetData>
  <sheetProtection algorithmName="SHA-512" hashValue="ZkHUBAf9U3QdpXSCoXp2JdZ1gOZ4zP7LwHACeJx7ksI1hEMH78xZT2ouCPQX3fR+Ne+dApCDjra58+72ETSQPA==" saltValue="M9w7ejSs6ZUg12coCuFyUw==" spinCount="100000" sheet="1" objects="1" scenarios="1"/>
  <mergeCells count="1">
    <mergeCell ref="H19:I19"/>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547C-F079-46D4-AF50-9629485B8C4F}">
  <sheetPr codeName="Tabelle6">
    <tabColor rgb="FFBF6A60"/>
  </sheetPr>
  <dimension ref="A1:AM131"/>
  <sheetViews>
    <sheetView defaultGridColor="0" colorId="9" zoomScaleNormal="100" zoomScaleSheetLayoutView="115" zoomScalePageLayoutView="85" workbookViewId="0"/>
  </sheetViews>
  <sheetFormatPr baseColWidth="10" defaultColWidth="11.44140625" defaultRowHeight="13.2" x14ac:dyDescent="0.25"/>
  <cols>
    <col min="1" max="2" width="3.6640625" style="8" customWidth="1"/>
    <col min="3" max="4" width="3.5546875" style="8" customWidth="1"/>
    <col min="5" max="5" width="18.44140625" style="8" customWidth="1"/>
    <col min="6" max="6" width="18.33203125" style="8" customWidth="1"/>
    <col min="7" max="7" width="18" style="8" customWidth="1"/>
    <col min="8" max="8" width="12" style="8" customWidth="1"/>
    <col min="9" max="9" width="5.109375" style="8" customWidth="1"/>
    <col min="10" max="10" width="10.6640625" style="16" customWidth="1"/>
    <col min="11" max="11" width="1.6640625" style="16" customWidth="1"/>
    <col min="12" max="12" width="10.6640625" style="16" customWidth="1"/>
    <col min="13" max="13" width="1.6640625" style="16" customWidth="1"/>
    <col min="14" max="14" width="10.6640625" style="16" customWidth="1"/>
    <col min="15" max="15" width="1.6640625" style="16" customWidth="1"/>
    <col min="16" max="16" width="10.6640625" style="16" customWidth="1"/>
    <col min="17" max="17" width="1.6640625" style="16" customWidth="1"/>
    <col min="18" max="18" width="10.6640625" style="16" customWidth="1"/>
    <col min="19" max="19" width="8.5546875" style="16" customWidth="1"/>
    <col min="20" max="20" width="19.33203125" style="16" customWidth="1"/>
    <col min="21" max="21" width="1.6640625" style="16" customWidth="1"/>
    <col min="22" max="22" width="19.33203125" style="16" customWidth="1"/>
    <col min="23" max="23" width="1.6640625" style="16" customWidth="1"/>
    <col min="24" max="24" width="19.33203125" style="16" customWidth="1"/>
    <col min="25" max="25" width="1.6640625" style="16" customWidth="1"/>
    <col min="26" max="26" width="19.33203125" style="16" customWidth="1"/>
    <col min="27" max="27" width="1.6640625" style="16" customWidth="1"/>
    <col min="28" max="28" width="19.33203125" style="16" customWidth="1"/>
    <col min="29" max="29" width="39.109375" style="8" customWidth="1"/>
    <col min="30" max="30" width="10.6640625" style="5" customWidth="1"/>
    <col min="31" max="31" width="38.5546875" style="5" customWidth="1"/>
    <col min="32" max="32" width="27.44140625" style="7" customWidth="1"/>
    <col min="33" max="33" width="27.44140625" style="8" customWidth="1"/>
    <col min="34" max="34" width="2.88671875" style="8" customWidth="1"/>
    <col min="35" max="35" width="27.44140625" style="8" customWidth="1"/>
    <col min="36" max="36" width="2.88671875" style="8" customWidth="1"/>
    <col min="37" max="37" width="27.44140625" style="8" customWidth="1"/>
    <col min="38" max="38" width="2.88671875" style="8" customWidth="1"/>
    <col min="39" max="39" width="22.88671875" style="8" customWidth="1"/>
    <col min="40" max="40" width="3.6640625" style="8" customWidth="1"/>
    <col min="41" max="41" width="13.33203125" style="8" customWidth="1"/>
    <col min="42" max="16384" width="11.44140625" style="8"/>
  </cols>
  <sheetData>
    <row r="1" spans="1:28" ht="25.5" customHeight="1" x14ac:dyDescent="0.25">
      <c r="A1" s="44" t="s">
        <v>187</v>
      </c>
      <c r="B1" s="44"/>
    </row>
    <row r="2" spans="1:28" ht="15" customHeight="1" x14ac:dyDescent="0.25"/>
    <row r="3" spans="1:28" ht="15" customHeight="1" x14ac:dyDescent="0.25">
      <c r="A3" s="238" t="s">
        <v>240</v>
      </c>
      <c r="B3" s="238"/>
      <c r="C3" s="238"/>
      <c r="D3" s="238"/>
    </row>
    <row r="4" spans="1:28" ht="15" customHeight="1" x14ac:dyDescent="0.25"/>
    <row r="5" spans="1:28" ht="15" customHeight="1" x14ac:dyDescent="0.25">
      <c r="A5" s="243" t="s">
        <v>213</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row>
    <row r="6" spans="1:28" ht="15" customHeight="1" x14ac:dyDescent="0.25"/>
    <row r="7" spans="1:28" ht="15" customHeight="1" x14ac:dyDescent="0.25"/>
    <row r="8" spans="1:28" ht="15" customHeight="1" x14ac:dyDescent="0.25">
      <c r="C8" s="72" t="s">
        <v>186</v>
      </c>
      <c r="D8" s="69"/>
      <c r="E8" s="69"/>
      <c r="F8" s="69"/>
      <c r="G8" s="69"/>
      <c r="H8" s="69"/>
      <c r="I8" s="69"/>
      <c r="J8" s="39"/>
      <c r="K8" s="39"/>
      <c r="L8" s="39"/>
      <c r="M8" s="39"/>
      <c r="N8" s="39"/>
      <c r="O8" s="39"/>
      <c r="P8" s="39"/>
      <c r="Q8" s="39"/>
      <c r="R8" s="39"/>
      <c r="S8" s="39"/>
      <c r="T8" s="39"/>
      <c r="U8" s="39"/>
      <c r="V8" s="39"/>
      <c r="W8" s="39"/>
      <c r="X8" s="39"/>
      <c r="Y8" s="39"/>
      <c r="Z8" s="39"/>
      <c r="AA8" s="39"/>
      <c r="AB8" s="39"/>
    </row>
    <row r="9" spans="1:28" ht="15" customHeight="1" x14ac:dyDescent="0.25">
      <c r="C9" s="73" t="s">
        <v>235</v>
      </c>
      <c r="D9" s="69"/>
      <c r="E9" s="69"/>
      <c r="F9" s="69"/>
      <c r="G9" s="69"/>
      <c r="H9" s="69"/>
      <c r="I9" s="69"/>
      <c r="J9" s="39"/>
      <c r="K9" s="39"/>
      <c r="L9" s="39"/>
      <c r="M9" s="39"/>
      <c r="N9" s="39"/>
      <c r="O9" s="39"/>
      <c r="P9" s="39"/>
      <c r="Q9" s="39"/>
      <c r="R9" s="39"/>
      <c r="S9" s="39"/>
      <c r="T9" s="39"/>
      <c r="U9" s="39"/>
      <c r="V9" s="39"/>
      <c r="W9" s="39"/>
      <c r="X9" s="39"/>
      <c r="Y9" s="39"/>
      <c r="Z9" s="39"/>
      <c r="AA9" s="39"/>
      <c r="AB9" s="39"/>
    </row>
    <row r="10" spans="1:28" ht="15" customHeight="1" x14ac:dyDescent="0.25">
      <c r="C10" s="74"/>
      <c r="D10" s="69"/>
      <c r="E10" s="69"/>
      <c r="F10" s="69"/>
      <c r="G10" s="69"/>
      <c r="H10" s="69"/>
      <c r="I10" s="69"/>
      <c r="J10" s="39"/>
      <c r="K10" s="39"/>
      <c r="L10" s="39"/>
      <c r="M10" s="39"/>
      <c r="N10" s="39"/>
      <c r="O10" s="39"/>
      <c r="P10" s="39"/>
      <c r="Q10" s="39"/>
      <c r="R10" s="39"/>
      <c r="S10" s="39"/>
      <c r="T10" s="39"/>
      <c r="U10" s="39"/>
      <c r="V10" s="39"/>
      <c r="W10" s="39"/>
      <c r="X10" s="39"/>
      <c r="Y10" s="39"/>
      <c r="Z10" s="39"/>
      <c r="AA10" s="39"/>
      <c r="AB10" s="39"/>
    </row>
    <row r="11" spans="1:28" ht="15" customHeight="1" x14ac:dyDescent="0.25">
      <c r="C11" s="74"/>
      <c r="D11" s="72" t="s">
        <v>118</v>
      </c>
      <c r="E11" s="69"/>
      <c r="F11" s="69"/>
      <c r="G11" s="69"/>
      <c r="H11" s="69"/>
      <c r="I11" s="69"/>
      <c r="J11" s="39"/>
      <c r="K11" s="39"/>
      <c r="L11" s="39"/>
      <c r="M11" s="39"/>
      <c r="N11" s="39"/>
      <c r="O11" s="39"/>
      <c r="P11" s="39"/>
      <c r="Q11" s="39"/>
      <c r="R11" s="39"/>
      <c r="S11" s="39"/>
      <c r="T11" s="39"/>
      <c r="U11" s="39"/>
      <c r="V11" s="39"/>
      <c r="W11" s="39"/>
      <c r="X11" s="39"/>
      <c r="Y11" s="39"/>
      <c r="Z11" s="39"/>
      <c r="AA11" s="39"/>
      <c r="AB11" s="39"/>
    </row>
    <row r="12" spans="1:28" ht="15" customHeight="1" x14ac:dyDescent="0.25">
      <c r="C12" s="74"/>
      <c r="D12" s="69"/>
      <c r="E12" s="69"/>
      <c r="F12" s="69"/>
      <c r="G12" s="69"/>
      <c r="H12" s="69"/>
      <c r="I12" s="69"/>
      <c r="J12" s="39"/>
      <c r="K12" s="39"/>
      <c r="L12" s="39"/>
      <c r="M12" s="39"/>
      <c r="N12" s="39"/>
      <c r="O12" s="39"/>
      <c r="P12" s="39"/>
      <c r="Q12" s="39"/>
      <c r="R12" s="39"/>
      <c r="S12" s="39"/>
      <c r="T12" s="39"/>
      <c r="U12" s="39"/>
      <c r="V12" s="39"/>
      <c r="W12" s="39"/>
      <c r="X12" s="39"/>
      <c r="Y12" s="39"/>
      <c r="Z12" s="39"/>
      <c r="AA12" s="39"/>
      <c r="AB12" s="39"/>
    </row>
    <row r="13" spans="1:28" ht="15" customHeight="1" x14ac:dyDescent="0.25">
      <c r="C13" s="193" t="b">
        <v>1</v>
      </c>
      <c r="D13" s="240"/>
      <c r="E13" s="242" t="s">
        <v>111</v>
      </c>
      <c r="F13" s="242"/>
      <c r="G13" s="242"/>
      <c r="H13" s="242"/>
      <c r="I13" s="242"/>
      <c r="J13" s="242"/>
      <c r="K13" s="242"/>
      <c r="L13" s="242"/>
      <c r="M13" s="242"/>
      <c r="N13" s="242"/>
      <c r="O13" s="242"/>
      <c r="P13" s="242"/>
      <c r="Q13" s="39"/>
      <c r="R13" s="39"/>
      <c r="S13" s="39"/>
      <c r="T13" s="39"/>
      <c r="U13" s="39"/>
      <c r="V13" s="39"/>
      <c r="W13" s="39"/>
      <c r="X13" s="39"/>
      <c r="Y13" s="39"/>
      <c r="Z13" s="39"/>
      <c r="AA13" s="39"/>
      <c r="AB13" s="39"/>
    </row>
    <row r="14" spans="1:28" ht="69" customHeight="1" x14ac:dyDescent="0.25">
      <c r="C14" s="74"/>
      <c r="D14" s="241"/>
      <c r="E14" s="75" t="s">
        <v>113</v>
      </c>
      <c r="F14" s="250" t="s">
        <v>123</v>
      </c>
      <c r="G14" s="250"/>
      <c r="H14" s="250"/>
      <c r="I14" s="250"/>
      <c r="J14" s="250"/>
      <c r="K14" s="250"/>
      <c r="L14" s="250"/>
      <c r="M14" s="250"/>
      <c r="N14" s="250"/>
      <c r="O14" s="250"/>
      <c r="P14" s="251"/>
      <c r="Q14" s="39"/>
      <c r="R14" s="39"/>
      <c r="S14" s="39"/>
      <c r="T14" s="39"/>
      <c r="U14" s="39"/>
      <c r="V14" s="39"/>
      <c r="W14" s="39"/>
      <c r="X14" s="39"/>
      <c r="Y14" s="39"/>
      <c r="Z14" s="39"/>
      <c r="AA14" s="39"/>
      <c r="AB14" s="39"/>
    </row>
    <row r="15" spans="1:28" ht="15" customHeight="1" x14ac:dyDescent="0.25">
      <c r="C15" s="74"/>
      <c r="D15" s="69"/>
      <c r="E15" s="69"/>
      <c r="F15" s="69"/>
      <c r="G15" s="69"/>
      <c r="H15" s="69"/>
      <c r="I15" s="69"/>
      <c r="J15" s="39"/>
      <c r="K15" s="39"/>
      <c r="L15" s="39"/>
      <c r="M15" s="39"/>
      <c r="N15" s="39"/>
      <c r="O15" s="39"/>
      <c r="P15" s="39"/>
      <c r="Q15" s="39"/>
      <c r="R15" s="39"/>
      <c r="S15" s="39"/>
      <c r="T15" s="39"/>
      <c r="U15" s="39"/>
      <c r="V15" s="39"/>
      <c r="W15" s="39"/>
      <c r="X15" s="39"/>
      <c r="Y15" s="39"/>
      <c r="Z15" s="39"/>
      <c r="AA15" s="39"/>
      <c r="AB15" s="39"/>
    </row>
    <row r="16" spans="1:28" ht="15" customHeight="1" x14ac:dyDescent="0.25">
      <c r="C16" s="193" t="b">
        <v>1</v>
      </c>
      <c r="D16" s="240"/>
      <c r="E16" s="242" t="s">
        <v>112</v>
      </c>
      <c r="F16" s="242"/>
      <c r="G16" s="242"/>
      <c r="H16" s="242"/>
      <c r="I16" s="242"/>
      <c r="J16" s="242"/>
      <c r="K16" s="242"/>
      <c r="L16" s="242"/>
      <c r="M16" s="242"/>
      <c r="N16" s="242"/>
      <c r="O16" s="242"/>
      <c r="P16" s="242"/>
      <c r="Q16" s="39"/>
      <c r="R16" s="39"/>
      <c r="S16" s="39"/>
      <c r="T16" s="39"/>
      <c r="U16" s="39"/>
      <c r="V16" s="39"/>
      <c r="W16" s="39"/>
      <c r="X16" s="39"/>
      <c r="Y16" s="39"/>
      <c r="Z16" s="39"/>
      <c r="AA16" s="39"/>
      <c r="AB16" s="39"/>
    </row>
    <row r="17" spans="3:28" ht="29.25" customHeight="1" x14ac:dyDescent="0.25">
      <c r="C17" s="74"/>
      <c r="D17" s="241"/>
      <c r="E17" s="75" t="s">
        <v>113</v>
      </c>
      <c r="F17" s="250" t="s">
        <v>124</v>
      </c>
      <c r="G17" s="250"/>
      <c r="H17" s="250"/>
      <c r="I17" s="250"/>
      <c r="J17" s="250"/>
      <c r="K17" s="250"/>
      <c r="L17" s="250"/>
      <c r="M17" s="250"/>
      <c r="N17" s="250"/>
      <c r="O17" s="250"/>
      <c r="P17" s="251"/>
      <c r="Q17" s="39"/>
      <c r="R17" s="39"/>
      <c r="S17" s="39"/>
      <c r="T17" s="39"/>
      <c r="U17" s="39"/>
      <c r="V17" s="39"/>
      <c r="W17" s="39"/>
      <c r="X17" s="39"/>
      <c r="Y17" s="39"/>
      <c r="Z17" s="39"/>
      <c r="AA17" s="39"/>
      <c r="AB17" s="39"/>
    </row>
    <row r="18" spans="3:28" ht="15" customHeight="1" x14ac:dyDescent="0.25">
      <c r="C18" s="74"/>
      <c r="D18" s="69"/>
      <c r="E18" s="69"/>
      <c r="F18" s="69"/>
      <c r="G18" s="69"/>
      <c r="H18" s="69"/>
      <c r="I18" s="69"/>
      <c r="J18" s="39"/>
      <c r="K18" s="39"/>
      <c r="L18" s="39"/>
      <c r="M18" s="39"/>
      <c r="N18" s="39"/>
      <c r="O18" s="39"/>
      <c r="P18" s="39"/>
      <c r="Q18" s="39"/>
      <c r="R18" s="39"/>
      <c r="S18" s="39"/>
      <c r="T18" s="39"/>
      <c r="U18" s="39"/>
      <c r="V18" s="39"/>
      <c r="W18" s="39"/>
      <c r="X18" s="39"/>
      <c r="Y18" s="39"/>
      <c r="Z18" s="39"/>
      <c r="AA18" s="39"/>
      <c r="AB18" s="39"/>
    </row>
    <row r="19" spans="3:28" ht="15" customHeight="1" x14ac:dyDescent="0.25">
      <c r="C19" s="193" t="b">
        <v>1</v>
      </c>
      <c r="D19" s="240"/>
      <c r="E19" s="242" t="s">
        <v>115</v>
      </c>
      <c r="F19" s="242"/>
      <c r="G19" s="242"/>
      <c r="H19" s="242"/>
      <c r="I19" s="242"/>
      <c r="J19" s="242"/>
      <c r="K19" s="242"/>
      <c r="L19" s="242"/>
      <c r="M19" s="242"/>
      <c r="N19" s="242"/>
      <c r="O19" s="242"/>
      <c r="P19" s="242"/>
      <c r="Q19" s="39"/>
      <c r="R19" s="39"/>
      <c r="S19" s="39"/>
      <c r="T19" s="39"/>
      <c r="U19" s="39"/>
      <c r="V19" s="39"/>
      <c r="W19" s="39"/>
      <c r="X19" s="39"/>
      <c r="Y19" s="39"/>
      <c r="Z19" s="39"/>
      <c r="AA19" s="39"/>
      <c r="AB19" s="39"/>
    </row>
    <row r="20" spans="3:28" ht="28.5" customHeight="1" x14ac:dyDescent="0.25">
      <c r="C20" s="74"/>
      <c r="D20" s="241"/>
      <c r="E20" s="75" t="s">
        <v>113</v>
      </c>
      <c r="F20" s="250" t="s">
        <v>125</v>
      </c>
      <c r="G20" s="250"/>
      <c r="H20" s="250"/>
      <c r="I20" s="250"/>
      <c r="J20" s="250"/>
      <c r="K20" s="250"/>
      <c r="L20" s="250"/>
      <c r="M20" s="250"/>
      <c r="N20" s="250"/>
      <c r="O20" s="250"/>
      <c r="P20" s="251"/>
      <c r="Q20" s="39"/>
      <c r="R20" s="39"/>
      <c r="S20" s="39"/>
      <c r="T20" s="39"/>
      <c r="U20" s="39"/>
      <c r="V20" s="39"/>
      <c r="W20" s="39"/>
      <c r="X20" s="39"/>
      <c r="Y20" s="39"/>
      <c r="Z20" s="39"/>
      <c r="AA20" s="39"/>
      <c r="AB20" s="39"/>
    </row>
    <row r="21" spans="3:28" ht="15" customHeight="1" x14ac:dyDescent="0.25">
      <c r="C21" s="74"/>
      <c r="D21" s="69"/>
      <c r="E21" s="69"/>
      <c r="F21" s="73"/>
      <c r="G21" s="73"/>
      <c r="H21" s="69"/>
      <c r="I21" s="69"/>
      <c r="J21" s="39"/>
      <c r="K21" s="39"/>
      <c r="L21" s="39"/>
      <c r="M21" s="39"/>
      <c r="N21" s="39"/>
      <c r="O21" s="39"/>
      <c r="P21" s="39"/>
      <c r="Q21" s="39"/>
      <c r="R21" s="39"/>
      <c r="S21" s="39"/>
      <c r="T21" s="39"/>
      <c r="U21" s="39"/>
      <c r="V21" s="39"/>
      <c r="W21" s="39"/>
      <c r="X21" s="39"/>
      <c r="Y21" s="39"/>
      <c r="Z21" s="39"/>
      <c r="AA21" s="39"/>
      <c r="AB21" s="39"/>
    </row>
    <row r="22" spans="3:28" ht="15" customHeight="1" x14ac:dyDescent="0.25">
      <c r="C22" s="193" t="b">
        <v>1</v>
      </c>
      <c r="D22" s="240"/>
      <c r="E22" s="242" t="s">
        <v>116</v>
      </c>
      <c r="F22" s="242"/>
      <c r="G22" s="242"/>
      <c r="H22" s="242"/>
      <c r="I22" s="242"/>
      <c r="J22" s="242"/>
      <c r="K22" s="242"/>
      <c r="L22" s="242"/>
      <c r="M22" s="242"/>
      <c r="N22" s="242"/>
      <c r="O22" s="242"/>
      <c r="P22" s="242"/>
      <c r="Q22" s="39"/>
      <c r="R22" s="39"/>
      <c r="S22" s="39"/>
      <c r="T22" s="39"/>
      <c r="U22" s="39"/>
      <c r="V22" s="39"/>
      <c r="W22" s="39"/>
      <c r="X22" s="39"/>
      <c r="Y22" s="39"/>
      <c r="Z22" s="39"/>
      <c r="AA22" s="39"/>
      <c r="AB22" s="39"/>
    </row>
    <row r="23" spans="3:28" ht="28.2" customHeight="1" x14ac:dyDescent="0.25">
      <c r="C23" s="74"/>
      <c r="D23" s="241"/>
      <c r="E23" s="75" t="s">
        <v>113</v>
      </c>
      <c r="F23" s="250" t="s">
        <v>126</v>
      </c>
      <c r="G23" s="250"/>
      <c r="H23" s="250"/>
      <c r="I23" s="250"/>
      <c r="J23" s="250"/>
      <c r="K23" s="250"/>
      <c r="L23" s="250"/>
      <c r="M23" s="250"/>
      <c r="N23" s="250"/>
      <c r="O23" s="250"/>
      <c r="P23" s="251"/>
      <c r="Q23" s="39"/>
      <c r="R23" s="39"/>
      <c r="S23" s="39"/>
      <c r="T23" s="39"/>
      <c r="U23" s="39"/>
      <c r="V23" s="39"/>
      <c r="W23" s="39"/>
      <c r="X23" s="39"/>
      <c r="Y23" s="39"/>
      <c r="Z23" s="39"/>
      <c r="AA23" s="39"/>
      <c r="AB23" s="39"/>
    </row>
    <row r="24" spans="3:28" ht="15" customHeight="1" x14ac:dyDescent="0.25">
      <c r="C24" s="74"/>
      <c r="D24" s="69"/>
      <c r="E24" s="69"/>
      <c r="F24" s="73"/>
      <c r="G24" s="73"/>
      <c r="H24" s="69"/>
      <c r="I24" s="69"/>
      <c r="J24" s="39"/>
      <c r="K24" s="39"/>
      <c r="L24" s="39"/>
      <c r="M24" s="39"/>
      <c r="N24" s="39"/>
      <c r="O24" s="39"/>
      <c r="P24" s="39"/>
      <c r="Q24" s="39"/>
      <c r="R24" s="39"/>
      <c r="S24" s="39"/>
      <c r="T24" s="39"/>
      <c r="U24" s="39"/>
      <c r="V24" s="39"/>
      <c r="W24" s="39"/>
      <c r="X24" s="39"/>
      <c r="Y24" s="39"/>
      <c r="Z24" s="39"/>
      <c r="AA24" s="39"/>
      <c r="AB24" s="39"/>
    </row>
    <row r="25" spans="3:28" ht="15" customHeight="1" x14ac:dyDescent="0.25">
      <c r="C25" s="193" t="b">
        <v>1</v>
      </c>
      <c r="D25" s="240"/>
      <c r="E25" s="242" t="s">
        <v>114</v>
      </c>
      <c r="F25" s="242"/>
      <c r="G25" s="242"/>
      <c r="H25" s="242"/>
      <c r="I25" s="242"/>
      <c r="J25" s="242"/>
      <c r="K25" s="242"/>
      <c r="L25" s="242"/>
      <c r="M25" s="242"/>
      <c r="N25" s="242"/>
      <c r="O25" s="242"/>
      <c r="P25" s="242"/>
      <c r="Q25" s="39"/>
      <c r="R25" s="39"/>
      <c r="S25" s="39"/>
      <c r="T25" s="39"/>
      <c r="U25" s="39"/>
      <c r="V25" s="39"/>
      <c r="W25" s="39"/>
      <c r="X25" s="39"/>
      <c r="Y25" s="39"/>
      <c r="Z25" s="39"/>
      <c r="AA25" s="39"/>
      <c r="AB25" s="39"/>
    </row>
    <row r="26" spans="3:28" ht="27" customHeight="1" x14ac:dyDescent="0.25">
      <c r="C26" s="74"/>
      <c r="D26" s="241"/>
      <c r="E26" s="75" t="s">
        <v>113</v>
      </c>
      <c r="F26" s="250" t="s">
        <v>127</v>
      </c>
      <c r="G26" s="250"/>
      <c r="H26" s="250"/>
      <c r="I26" s="250"/>
      <c r="J26" s="250"/>
      <c r="K26" s="250"/>
      <c r="L26" s="250"/>
      <c r="M26" s="250"/>
      <c r="N26" s="250"/>
      <c r="O26" s="250"/>
      <c r="P26" s="251"/>
      <c r="Q26" s="39"/>
      <c r="R26" s="39"/>
      <c r="S26" s="39"/>
      <c r="T26" s="39"/>
      <c r="U26" s="39"/>
      <c r="V26" s="39"/>
      <c r="W26" s="39"/>
      <c r="X26" s="39"/>
      <c r="Y26" s="39"/>
      <c r="Z26" s="39"/>
      <c r="AA26" s="39"/>
      <c r="AB26" s="39"/>
    </row>
    <row r="27" spans="3:28" ht="15" customHeight="1" x14ac:dyDescent="0.25">
      <c r="C27" s="74"/>
      <c r="D27" s="69"/>
      <c r="E27" s="69"/>
      <c r="F27" s="69"/>
      <c r="G27" s="69"/>
      <c r="H27" s="69"/>
      <c r="I27" s="69"/>
      <c r="J27" s="39"/>
      <c r="K27" s="39"/>
      <c r="L27" s="39"/>
      <c r="M27" s="39"/>
      <c r="N27" s="39"/>
      <c r="O27" s="39"/>
      <c r="P27" s="39"/>
      <c r="Q27" s="39"/>
      <c r="R27" s="39"/>
      <c r="S27" s="39"/>
      <c r="T27" s="39"/>
      <c r="U27" s="39"/>
      <c r="V27" s="39"/>
      <c r="W27" s="39"/>
      <c r="X27" s="39"/>
      <c r="Y27" s="39"/>
      <c r="Z27" s="39"/>
      <c r="AA27" s="39"/>
      <c r="AB27" s="39"/>
    </row>
    <row r="28" spans="3:28" ht="15" customHeight="1" x14ac:dyDescent="0.25">
      <c r="C28" s="193" t="b">
        <v>1</v>
      </c>
      <c r="D28" s="240"/>
      <c r="E28" s="239" t="s">
        <v>117</v>
      </c>
      <c r="F28" s="239"/>
      <c r="G28" s="239"/>
      <c r="H28" s="239"/>
      <c r="I28" s="239"/>
      <c r="J28" s="239"/>
      <c r="K28" s="239"/>
      <c r="L28" s="239"/>
      <c r="M28" s="239"/>
      <c r="N28" s="239"/>
      <c r="O28" s="239"/>
      <c r="P28" s="239"/>
      <c r="Q28" s="39"/>
      <c r="R28" s="39"/>
      <c r="S28" s="39"/>
      <c r="T28" s="39"/>
      <c r="U28" s="39"/>
      <c r="V28" s="39"/>
      <c r="W28" s="39"/>
      <c r="X28" s="39"/>
      <c r="Y28" s="39"/>
      <c r="Z28" s="39"/>
      <c r="AA28" s="39"/>
      <c r="AB28" s="39"/>
    </row>
    <row r="29" spans="3:28" ht="42" customHeight="1" x14ac:dyDescent="0.25">
      <c r="C29" s="74"/>
      <c r="D29" s="241"/>
      <c r="E29" s="75" t="s">
        <v>113</v>
      </c>
      <c r="F29" s="250" t="s">
        <v>128</v>
      </c>
      <c r="G29" s="250"/>
      <c r="H29" s="250"/>
      <c r="I29" s="250"/>
      <c r="J29" s="250"/>
      <c r="K29" s="250"/>
      <c r="L29" s="250"/>
      <c r="M29" s="250"/>
      <c r="N29" s="250"/>
      <c r="O29" s="250"/>
      <c r="P29" s="251"/>
      <c r="Q29" s="39"/>
      <c r="R29" s="39"/>
      <c r="S29" s="39"/>
      <c r="T29" s="39"/>
      <c r="U29" s="39"/>
      <c r="V29" s="39"/>
      <c r="W29" s="39"/>
      <c r="X29" s="39"/>
      <c r="Y29" s="39"/>
      <c r="Z29" s="39"/>
      <c r="AA29" s="39"/>
      <c r="AB29" s="39"/>
    </row>
    <row r="30" spans="3:28" ht="15" customHeight="1" x14ac:dyDescent="0.25">
      <c r="C30" s="74"/>
      <c r="D30" s="69"/>
      <c r="E30" s="73"/>
      <c r="F30" s="73"/>
      <c r="G30" s="73"/>
      <c r="H30" s="69"/>
      <c r="I30" s="69"/>
      <c r="J30" s="39"/>
      <c r="K30" s="39"/>
      <c r="L30" s="39"/>
      <c r="M30" s="39"/>
      <c r="N30" s="39"/>
      <c r="O30" s="39"/>
      <c r="P30" s="39"/>
      <c r="Q30" s="39"/>
      <c r="R30" s="39"/>
      <c r="S30" s="39"/>
      <c r="T30" s="39"/>
      <c r="U30" s="39"/>
      <c r="V30" s="39"/>
      <c r="W30" s="39"/>
      <c r="X30" s="39"/>
      <c r="Y30" s="39"/>
      <c r="Z30" s="39"/>
      <c r="AA30" s="39"/>
      <c r="AB30" s="39"/>
    </row>
    <row r="31" spans="3:28" ht="15" customHeight="1" x14ac:dyDescent="0.25">
      <c r="C31" s="74"/>
      <c r="D31" s="69"/>
      <c r="E31" s="73"/>
      <c r="F31" s="73"/>
      <c r="G31" s="73"/>
      <c r="H31" s="69"/>
      <c r="I31" s="69"/>
      <c r="J31" s="39"/>
      <c r="K31" s="39"/>
      <c r="L31" s="39"/>
      <c r="M31" s="39"/>
      <c r="N31" s="39"/>
      <c r="O31" s="39"/>
      <c r="P31" s="39"/>
      <c r="Q31" s="39"/>
      <c r="R31" s="39"/>
      <c r="S31" s="39"/>
      <c r="T31" s="39"/>
      <c r="U31" s="39"/>
      <c r="V31" s="39"/>
      <c r="W31" s="39"/>
      <c r="X31" s="39"/>
      <c r="Y31" s="39"/>
      <c r="Z31" s="39"/>
      <c r="AA31" s="39"/>
      <c r="AB31" s="39"/>
    </row>
    <row r="32" spans="3:28" ht="15" customHeight="1" x14ac:dyDescent="0.25">
      <c r="C32" s="74"/>
      <c r="D32" s="72" t="s">
        <v>119</v>
      </c>
      <c r="E32" s="69"/>
      <c r="F32" s="69"/>
      <c r="G32" s="69"/>
      <c r="H32" s="69"/>
      <c r="I32" s="69"/>
      <c r="J32" s="39"/>
      <c r="K32" s="39"/>
      <c r="L32" s="39"/>
      <c r="M32" s="39"/>
      <c r="N32" s="39"/>
      <c r="O32" s="39"/>
      <c r="P32" s="39"/>
      <c r="Q32" s="39"/>
      <c r="R32" s="39"/>
      <c r="S32" s="39"/>
      <c r="T32" s="39"/>
      <c r="U32" s="39"/>
      <c r="V32" s="39"/>
      <c r="W32" s="39"/>
      <c r="X32" s="39"/>
      <c r="Y32" s="39"/>
      <c r="Z32" s="39"/>
      <c r="AA32" s="39"/>
      <c r="AB32" s="39"/>
    </row>
    <row r="33" spans="1:39" ht="15" customHeight="1" x14ac:dyDescent="0.25">
      <c r="C33" s="74"/>
      <c r="D33" s="72"/>
      <c r="E33" s="69"/>
      <c r="F33" s="69"/>
      <c r="G33" s="69"/>
      <c r="H33" s="69"/>
      <c r="I33" s="69"/>
      <c r="J33" s="39"/>
      <c r="K33" s="39"/>
      <c r="L33" s="39"/>
      <c r="M33" s="39"/>
      <c r="N33" s="39"/>
      <c r="O33" s="39"/>
      <c r="P33" s="39"/>
      <c r="Q33" s="39"/>
      <c r="R33" s="39"/>
      <c r="S33" s="39"/>
      <c r="T33" s="39"/>
      <c r="U33" s="39"/>
      <c r="V33" s="39"/>
      <c r="W33" s="39"/>
      <c r="X33" s="39"/>
      <c r="Y33" s="39"/>
      <c r="Z33" s="39"/>
      <c r="AA33" s="39"/>
      <c r="AB33" s="39"/>
    </row>
    <row r="34" spans="1:39" ht="15" customHeight="1" x14ac:dyDescent="0.25">
      <c r="C34" s="193" t="b">
        <v>1</v>
      </c>
      <c r="D34" s="191"/>
      <c r="E34" s="239" t="s">
        <v>496</v>
      </c>
      <c r="F34" s="239"/>
      <c r="G34" s="239"/>
      <c r="H34" s="239"/>
      <c r="I34" s="239"/>
      <c r="J34" s="239"/>
      <c r="K34" s="239"/>
      <c r="L34" s="239"/>
      <c r="M34" s="239"/>
      <c r="N34" s="239"/>
      <c r="O34" s="239"/>
      <c r="P34" s="239"/>
      <c r="Q34" s="39"/>
      <c r="R34" s="39"/>
      <c r="S34" s="39"/>
      <c r="T34" s="39"/>
      <c r="U34" s="39"/>
      <c r="V34" s="39"/>
      <c r="W34" s="39"/>
      <c r="X34" s="39"/>
      <c r="Y34" s="39"/>
      <c r="Z34" s="39"/>
      <c r="AA34" s="39"/>
      <c r="AB34" s="39"/>
    </row>
    <row r="35" spans="1:39" ht="15" customHeight="1" x14ac:dyDescent="0.25">
      <c r="C35" s="74"/>
      <c r="D35" s="72"/>
      <c r="E35" s="69"/>
      <c r="F35" s="69"/>
      <c r="G35" s="69"/>
      <c r="H35" s="69"/>
      <c r="I35" s="69"/>
      <c r="J35" s="39"/>
      <c r="K35" s="39"/>
      <c r="L35" s="39"/>
      <c r="M35" s="39"/>
      <c r="N35" s="39"/>
      <c r="O35" s="39"/>
      <c r="P35" s="39"/>
      <c r="Q35" s="39"/>
      <c r="R35" s="39"/>
      <c r="S35" s="39"/>
      <c r="T35" s="39"/>
      <c r="U35" s="39"/>
      <c r="V35" s="39"/>
      <c r="W35" s="39"/>
      <c r="X35" s="39"/>
      <c r="Y35" s="39"/>
      <c r="Z35" s="39"/>
      <c r="AA35" s="39"/>
      <c r="AB35" s="39"/>
    </row>
    <row r="36" spans="1:39" ht="15" customHeight="1" x14ac:dyDescent="0.25">
      <c r="C36" s="193" t="b">
        <v>1</v>
      </c>
      <c r="D36" s="192"/>
      <c r="E36" s="252" t="s">
        <v>120</v>
      </c>
      <c r="F36" s="252"/>
      <c r="G36" s="252"/>
      <c r="H36" s="252"/>
      <c r="I36" s="252"/>
      <c r="J36" s="252"/>
      <c r="K36" s="252"/>
      <c r="L36" s="252"/>
      <c r="M36" s="252"/>
      <c r="N36" s="252"/>
      <c r="O36" s="252"/>
      <c r="P36" s="252"/>
      <c r="Q36" s="39"/>
      <c r="R36" s="39"/>
      <c r="S36" s="39"/>
      <c r="T36" s="39"/>
      <c r="U36" s="39"/>
      <c r="V36" s="39"/>
      <c r="W36" s="39"/>
      <c r="X36" s="39"/>
      <c r="Y36" s="39"/>
      <c r="Z36" s="39"/>
      <c r="AA36" s="39"/>
      <c r="AB36" s="39"/>
    </row>
    <row r="37" spans="1:39" ht="15" customHeight="1" x14ac:dyDescent="0.25">
      <c r="C37" s="74"/>
      <c r="D37" s="72"/>
      <c r="E37" s="69"/>
      <c r="F37" s="69"/>
      <c r="G37" s="69"/>
      <c r="H37" s="69"/>
      <c r="I37" s="69"/>
      <c r="J37" s="39"/>
      <c r="K37" s="39"/>
      <c r="L37" s="39"/>
      <c r="M37" s="39"/>
      <c r="N37" s="39"/>
      <c r="O37" s="39"/>
      <c r="P37" s="39"/>
      <c r="Q37" s="39"/>
      <c r="R37" s="39"/>
      <c r="S37" s="39"/>
      <c r="T37" s="39"/>
      <c r="U37" s="39"/>
      <c r="V37" s="39"/>
      <c r="W37" s="39"/>
      <c r="X37" s="39"/>
      <c r="Y37" s="39"/>
      <c r="Z37" s="39"/>
      <c r="AA37" s="39"/>
      <c r="AB37" s="39"/>
    </row>
    <row r="38" spans="1:39" ht="15" customHeight="1" x14ac:dyDescent="0.25">
      <c r="C38" s="193" t="b">
        <v>1</v>
      </c>
      <c r="D38" s="192"/>
      <c r="E38" s="252" t="s">
        <v>121</v>
      </c>
      <c r="F38" s="252"/>
      <c r="G38" s="252"/>
      <c r="H38" s="252"/>
      <c r="I38" s="252"/>
      <c r="J38" s="252"/>
      <c r="K38" s="252"/>
      <c r="L38" s="252"/>
      <c r="M38" s="252"/>
      <c r="N38" s="252"/>
      <c r="O38" s="252"/>
      <c r="P38" s="252"/>
      <c r="Q38" s="39"/>
      <c r="R38" s="39"/>
      <c r="S38" s="39"/>
      <c r="T38" s="39"/>
      <c r="U38" s="39"/>
      <c r="V38" s="39"/>
      <c r="W38" s="39"/>
      <c r="X38" s="39"/>
      <c r="Y38" s="39"/>
      <c r="Z38" s="39"/>
      <c r="AA38" s="39"/>
      <c r="AB38" s="39"/>
    </row>
    <row r="39" spans="1:39" ht="15" customHeight="1" x14ac:dyDescent="0.25">
      <c r="C39" s="74"/>
      <c r="D39" s="72"/>
      <c r="E39" s="69"/>
      <c r="F39" s="69"/>
      <c r="G39" s="69"/>
      <c r="H39" s="69"/>
      <c r="I39" s="69"/>
      <c r="J39" s="39"/>
      <c r="K39" s="39"/>
      <c r="L39" s="39"/>
      <c r="M39" s="39"/>
      <c r="N39" s="39"/>
      <c r="O39" s="39"/>
      <c r="P39" s="39"/>
      <c r="Q39" s="39"/>
      <c r="R39" s="39"/>
      <c r="S39" s="39"/>
      <c r="T39" s="39"/>
      <c r="U39" s="39"/>
      <c r="V39" s="39"/>
      <c r="W39" s="39"/>
      <c r="X39" s="39"/>
      <c r="Y39" s="39"/>
      <c r="Z39" s="39"/>
      <c r="AA39" s="39"/>
      <c r="AB39" s="39"/>
    </row>
    <row r="40" spans="1:39" ht="15" customHeight="1" x14ac:dyDescent="0.25">
      <c r="C40" s="74"/>
      <c r="D40" s="72"/>
      <c r="E40" s="69"/>
      <c r="F40" s="69"/>
      <c r="G40" s="69"/>
      <c r="H40" s="69"/>
      <c r="I40" s="69"/>
      <c r="J40" s="39"/>
      <c r="K40" s="39"/>
      <c r="L40" s="39"/>
      <c r="M40" s="39"/>
      <c r="N40" s="39"/>
      <c r="O40" s="39"/>
      <c r="P40" s="39"/>
      <c r="Q40" s="39"/>
      <c r="R40" s="39"/>
      <c r="S40" s="39"/>
      <c r="T40" s="39"/>
      <c r="U40" s="39"/>
      <c r="V40" s="39"/>
      <c r="W40" s="39"/>
      <c r="X40" s="39"/>
      <c r="Y40" s="39"/>
      <c r="Z40" s="39"/>
      <c r="AA40" s="39"/>
      <c r="AB40" s="39"/>
    </row>
    <row r="41" spans="1:39" ht="15" customHeight="1" x14ac:dyDescent="0.25"/>
    <row r="42" spans="1:39" s="5" customFormat="1" ht="15" customHeight="1" x14ac:dyDescent="0.25">
      <c r="J42" s="1"/>
      <c r="K42" s="1"/>
      <c r="L42" s="1"/>
      <c r="M42" s="1"/>
      <c r="N42" s="1"/>
      <c r="O42" s="1"/>
      <c r="P42" s="1"/>
      <c r="Q42" s="1"/>
      <c r="R42" s="1"/>
      <c r="S42" s="1"/>
      <c r="T42" s="1"/>
      <c r="U42" s="16"/>
      <c r="V42" s="1"/>
      <c r="W42" s="16"/>
      <c r="X42" s="1"/>
      <c r="Y42" s="16"/>
      <c r="Z42" s="1"/>
      <c r="AA42" s="16"/>
      <c r="AB42" s="1"/>
      <c r="AD42" s="1"/>
      <c r="AF42" s="3"/>
      <c r="AG42" s="3"/>
      <c r="AH42" s="3"/>
      <c r="AI42" s="1"/>
      <c r="AJ42" s="1"/>
      <c r="AK42" s="3"/>
      <c r="AL42" s="3"/>
      <c r="AM42" s="3"/>
    </row>
    <row r="43" spans="1:39" s="5" customFormat="1" ht="15" customHeight="1" x14ac:dyDescent="0.25">
      <c r="J43" s="1"/>
      <c r="K43" s="1"/>
      <c r="L43" s="1"/>
      <c r="M43" s="1"/>
      <c r="N43" s="1"/>
      <c r="O43" s="1"/>
      <c r="P43" s="1"/>
      <c r="Q43" s="1"/>
      <c r="R43" s="1"/>
      <c r="S43" s="1"/>
      <c r="T43" s="1"/>
      <c r="U43" s="16"/>
      <c r="V43" s="1"/>
      <c r="W43" s="16"/>
      <c r="X43" s="1"/>
      <c r="Y43" s="16"/>
      <c r="Z43" s="1"/>
      <c r="AA43" s="16"/>
      <c r="AB43" s="1"/>
      <c r="AD43" s="1"/>
      <c r="AF43" s="3"/>
      <c r="AG43" s="3"/>
      <c r="AH43" s="3"/>
      <c r="AI43" s="1"/>
      <c r="AJ43" s="1"/>
      <c r="AK43" s="3"/>
      <c r="AL43" s="3"/>
      <c r="AM43" s="3"/>
    </row>
    <row r="44" spans="1:39" s="5" customFormat="1" ht="15" customHeight="1" x14ac:dyDescent="0.25">
      <c r="A44" s="243" t="s">
        <v>130</v>
      </c>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F44" s="4"/>
      <c r="AG44" s="4"/>
      <c r="AH44" s="4"/>
      <c r="AI44" s="4"/>
      <c r="AJ44" s="4"/>
    </row>
    <row r="45" spans="1:39" s="5" customFormat="1" ht="15" customHeight="1" x14ac:dyDescent="0.25">
      <c r="C45" s="10"/>
      <c r="D45" s="10"/>
      <c r="E45" s="10"/>
      <c r="F45" s="10"/>
      <c r="G45" s="10"/>
      <c r="J45" s="1"/>
      <c r="K45" s="1"/>
      <c r="L45" s="1"/>
      <c r="M45" s="1"/>
      <c r="N45" s="1"/>
      <c r="O45" s="1"/>
      <c r="P45" s="1"/>
      <c r="Q45" s="1"/>
      <c r="R45" s="1"/>
      <c r="S45" s="1"/>
      <c r="T45" s="1"/>
      <c r="U45" s="16"/>
      <c r="V45" s="1"/>
      <c r="W45" s="16"/>
      <c r="X45" s="1"/>
      <c r="Y45" s="16"/>
      <c r="Z45" s="1"/>
      <c r="AA45" s="16"/>
      <c r="AB45" s="1"/>
      <c r="AF45" s="4"/>
      <c r="AG45" s="4"/>
      <c r="AH45" s="4"/>
      <c r="AI45" s="4"/>
      <c r="AJ45" s="4"/>
    </row>
    <row r="46" spans="1:39" s="5" customFormat="1" ht="15" customHeight="1" x14ac:dyDescent="0.25">
      <c r="C46" s="10"/>
      <c r="D46" s="10"/>
      <c r="E46" s="10"/>
      <c r="F46" s="10"/>
      <c r="G46" s="10"/>
      <c r="J46" s="1"/>
      <c r="K46" s="1"/>
      <c r="L46" s="1"/>
      <c r="M46" s="1"/>
      <c r="N46" s="1"/>
      <c r="O46" s="1"/>
      <c r="P46" s="1"/>
      <c r="Q46" s="1"/>
      <c r="R46" s="1"/>
      <c r="S46" s="1"/>
      <c r="T46" s="1"/>
      <c r="U46" s="16"/>
      <c r="V46" s="1"/>
      <c r="W46" s="16"/>
      <c r="X46" s="1"/>
      <c r="Y46" s="16"/>
      <c r="Z46" s="1"/>
      <c r="AA46" s="16"/>
      <c r="AB46" s="1"/>
      <c r="AF46" s="4"/>
      <c r="AG46" s="4"/>
      <c r="AH46" s="4"/>
      <c r="AI46" s="4"/>
      <c r="AJ46" s="4"/>
    </row>
    <row r="47" spans="1:39" ht="51" customHeight="1" x14ac:dyDescent="0.25">
      <c r="C47" s="244" t="s">
        <v>236</v>
      </c>
      <c r="D47" s="245"/>
      <c r="E47" s="245"/>
      <c r="F47" s="245"/>
      <c r="G47" s="246"/>
      <c r="H47" s="256" t="s">
        <v>3</v>
      </c>
      <c r="I47" s="256"/>
      <c r="J47" s="256"/>
      <c r="K47" s="256"/>
      <c r="L47" s="256" t="s">
        <v>337</v>
      </c>
      <c r="M47" s="257"/>
      <c r="N47" s="257"/>
      <c r="O47" s="257"/>
      <c r="P47" s="257"/>
      <c r="Q47" s="257"/>
      <c r="R47" s="256" t="s">
        <v>4</v>
      </c>
      <c r="S47" s="257"/>
      <c r="T47" s="257"/>
      <c r="U47" s="257"/>
      <c r="V47" s="256" t="s">
        <v>176</v>
      </c>
      <c r="W47" s="257"/>
      <c r="X47" s="257"/>
      <c r="Y47" s="254" t="s">
        <v>34</v>
      </c>
      <c r="Z47" s="254"/>
      <c r="AA47" s="254"/>
      <c r="AB47" s="254"/>
    </row>
    <row r="48" spans="1:39" ht="153.75" customHeight="1" x14ac:dyDescent="0.25">
      <c r="C48" s="247"/>
      <c r="D48" s="248"/>
      <c r="E48" s="248"/>
      <c r="F48" s="248"/>
      <c r="G48" s="249"/>
      <c r="H48" s="259"/>
      <c r="I48" s="259"/>
      <c r="J48" s="259"/>
      <c r="K48" s="259"/>
      <c r="L48" s="259"/>
      <c r="M48" s="259"/>
      <c r="N48" s="259"/>
      <c r="O48" s="259"/>
      <c r="P48" s="259"/>
      <c r="Q48" s="259"/>
      <c r="R48" s="259"/>
      <c r="S48" s="259"/>
      <c r="T48" s="259"/>
      <c r="U48" s="259"/>
      <c r="V48" s="260"/>
      <c r="W48" s="260"/>
      <c r="X48" s="260"/>
      <c r="Y48" s="255"/>
      <c r="Z48" s="255"/>
      <c r="AA48" s="255"/>
      <c r="AB48" s="255"/>
    </row>
    <row r="49" spans="1:28" ht="15" customHeight="1" x14ac:dyDescent="0.25">
      <c r="H49" s="196" t="b">
        <v>0</v>
      </c>
      <c r="I49" s="194"/>
      <c r="J49" s="139"/>
      <c r="K49" s="139"/>
      <c r="L49" s="195" t="b">
        <v>1</v>
      </c>
      <c r="M49" s="139"/>
      <c r="N49" s="139"/>
      <c r="O49" s="139"/>
      <c r="P49" s="139"/>
      <c r="Q49" s="139"/>
      <c r="R49" s="195" t="b">
        <v>0</v>
      </c>
      <c r="S49" s="139"/>
      <c r="T49" s="139"/>
      <c r="U49" s="139"/>
      <c r="V49" s="195" t="b">
        <v>0</v>
      </c>
      <c r="W49" s="139"/>
      <c r="X49" s="139"/>
      <c r="Y49" s="253" t="b">
        <v>0</v>
      </c>
      <c r="Z49" s="253"/>
      <c r="AA49" s="139"/>
      <c r="AB49" s="139"/>
    </row>
    <row r="50" spans="1:28" ht="15" customHeight="1" x14ac:dyDescent="0.25">
      <c r="C50" s="229" t="s">
        <v>32</v>
      </c>
      <c r="D50" s="230"/>
      <c r="E50" s="230"/>
      <c r="F50" s="230"/>
      <c r="G50" s="231"/>
      <c r="H50" s="223" t="s">
        <v>521</v>
      </c>
      <c r="I50" s="223"/>
      <c r="J50" s="223"/>
      <c r="K50" s="76"/>
      <c r="L50" s="76"/>
      <c r="M50" s="76"/>
      <c r="N50" s="76"/>
      <c r="O50" s="76"/>
      <c r="P50" s="76"/>
      <c r="Q50" s="76"/>
      <c r="R50" s="76"/>
      <c r="S50" s="76"/>
      <c r="T50" s="76"/>
      <c r="U50" s="76"/>
      <c r="V50" s="76"/>
      <c r="W50" s="76"/>
      <c r="X50" s="76"/>
    </row>
    <row r="51" spans="1:28" ht="15" customHeight="1" x14ac:dyDescent="0.25">
      <c r="C51" s="229" t="s">
        <v>459</v>
      </c>
      <c r="D51" s="230"/>
      <c r="E51" s="230"/>
      <c r="F51" s="230"/>
      <c r="G51" s="231"/>
      <c r="H51" s="223">
        <v>10</v>
      </c>
      <c r="I51" s="223"/>
      <c r="J51" s="223"/>
      <c r="K51" s="76"/>
      <c r="L51" s="76"/>
      <c r="M51" s="76"/>
      <c r="N51" s="76"/>
      <c r="O51" s="76"/>
      <c r="P51" s="76"/>
      <c r="Q51" s="76"/>
      <c r="R51" s="76"/>
      <c r="S51" s="76"/>
      <c r="T51" s="76"/>
      <c r="U51" s="76"/>
      <c r="V51" s="76"/>
      <c r="W51" s="76"/>
      <c r="X51" s="76"/>
    </row>
    <row r="52" spans="1:28" ht="15" customHeight="1" x14ac:dyDescent="0.25"/>
    <row r="53" spans="1:28" ht="15" customHeight="1" x14ac:dyDescent="0.25"/>
    <row r="54" spans="1:28" ht="15" customHeight="1" x14ac:dyDescent="0.25"/>
    <row r="55" spans="1:28" ht="15" customHeight="1" x14ac:dyDescent="0.25">
      <c r="A55" s="243" t="s">
        <v>335</v>
      </c>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row>
    <row r="56" spans="1:28" ht="15" customHeight="1" x14ac:dyDescent="0.25"/>
    <row r="57" spans="1:28" ht="15" customHeight="1" x14ac:dyDescent="0.25"/>
    <row r="58" spans="1:28" ht="15" customHeight="1" x14ac:dyDescent="0.25">
      <c r="C58" s="229" t="s">
        <v>424</v>
      </c>
      <c r="D58" s="230"/>
      <c r="E58" s="230"/>
      <c r="F58" s="230"/>
      <c r="G58" s="231"/>
      <c r="H58" s="223">
        <v>1</v>
      </c>
      <c r="I58" s="223"/>
      <c r="J58" s="223"/>
    </row>
    <row r="59" spans="1:28" ht="15" customHeight="1" x14ac:dyDescent="0.25">
      <c r="C59" s="229" t="s">
        <v>425</v>
      </c>
      <c r="D59" s="230"/>
      <c r="E59" s="230"/>
      <c r="F59" s="230"/>
      <c r="G59" s="231"/>
      <c r="H59" s="223">
        <v>25</v>
      </c>
      <c r="I59" s="223"/>
      <c r="J59" s="223"/>
    </row>
    <row r="60" spans="1:28" ht="15" customHeight="1" x14ac:dyDescent="0.25"/>
    <row r="61" spans="1:28" ht="15" customHeight="1" x14ac:dyDescent="0.25"/>
    <row r="62" spans="1:28" ht="15" customHeight="1" x14ac:dyDescent="0.25"/>
    <row r="63" spans="1:28" ht="15" customHeight="1" x14ac:dyDescent="0.25">
      <c r="A63" s="243" t="s">
        <v>129</v>
      </c>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row>
    <row r="64" spans="1:28" ht="15" customHeight="1" x14ac:dyDescent="0.25"/>
    <row r="65" spans="3:10" ht="15" customHeight="1" x14ac:dyDescent="0.25">
      <c r="C65" s="92"/>
    </row>
    <row r="66" spans="3:10" ht="15" customHeight="1" x14ac:dyDescent="0.25">
      <c r="C66" s="258" t="s">
        <v>24</v>
      </c>
      <c r="D66" s="258"/>
      <c r="E66" s="258"/>
      <c r="F66" s="258"/>
      <c r="G66" s="86"/>
      <c r="H66" s="223" t="s">
        <v>1</v>
      </c>
      <c r="I66" s="223"/>
      <c r="J66" s="223"/>
    </row>
    <row r="67" spans="3:10" ht="15" customHeight="1" x14ac:dyDescent="0.25">
      <c r="C67" s="258" t="s">
        <v>25</v>
      </c>
      <c r="D67" s="258"/>
      <c r="E67" s="258"/>
      <c r="F67" s="258"/>
      <c r="G67" s="86"/>
      <c r="H67" s="223" t="s">
        <v>31</v>
      </c>
      <c r="I67" s="223"/>
      <c r="J67" s="223"/>
    </row>
    <row r="68" spans="3:10" ht="15" customHeight="1" x14ac:dyDescent="0.25">
      <c r="C68" s="10"/>
      <c r="D68" s="10"/>
      <c r="E68" s="10"/>
      <c r="F68" s="10"/>
      <c r="G68" s="10"/>
      <c r="H68" s="3"/>
      <c r="I68" s="3"/>
      <c r="J68" s="3"/>
    </row>
    <row r="69" spans="3:10" ht="15" customHeight="1" x14ac:dyDescent="0.25">
      <c r="C69" s="10"/>
      <c r="D69" s="10"/>
      <c r="E69" s="10"/>
      <c r="F69" s="10"/>
      <c r="G69" s="10"/>
      <c r="H69" s="3"/>
      <c r="I69" s="3"/>
      <c r="J69" s="3"/>
    </row>
    <row r="70" spans="3:10" ht="15" customHeight="1" x14ac:dyDescent="0.25">
      <c r="C70" s="229" t="s">
        <v>184</v>
      </c>
      <c r="D70" s="230"/>
      <c r="E70" s="230"/>
      <c r="F70" s="230"/>
      <c r="G70" s="230"/>
      <c r="H70" s="230"/>
      <c r="I70" s="94"/>
      <c r="J70" s="96"/>
    </row>
    <row r="71" spans="3:10" ht="15" customHeight="1" x14ac:dyDescent="0.25">
      <c r="C71" s="232" t="s">
        <v>403</v>
      </c>
      <c r="D71" s="233"/>
      <c r="E71" s="233"/>
      <c r="F71" s="233"/>
      <c r="G71" s="233"/>
      <c r="H71" s="233"/>
      <c r="I71" s="233"/>
      <c r="J71" s="234"/>
    </row>
    <row r="72" spans="3:10" ht="15" customHeight="1" x14ac:dyDescent="0.25">
      <c r="C72" s="235"/>
      <c r="D72" s="236"/>
      <c r="E72" s="236"/>
      <c r="F72" s="236"/>
      <c r="G72" s="236"/>
      <c r="H72" s="236"/>
      <c r="I72" s="236"/>
      <c r="J72" s="237"/>
    </row>
    <row r="73" spans="3:10" ht="15" customHeight="1" x14ac:dyDescent="0.25">
      <c r="C73" s="93"/>
      <c r="D73" s="219" t="s">
        <v>182</v>
      </c>
      <c r="E73" s="219"/>
      <c r="F73" s="98"/>
      <c r="G73" s="99" t="s">
        <v>191</v>
      </c>
      <c r="H73" s="102" t="s">
        <v>188</v>
      </c>
      <c r="I73" s="215"/>
      <c r="J73" s="216"/>
    </row>
    <row r="74" spans="3:10" ht="15" customHeight="1" x14ac:dyDescent="0.25">
      <c r="C74" s="93"/>
      <c r="D74" s="227" t="s">
        <v>426</v>
      </c>
      <c r="E74" s="227"/>
      <c r="F74" s="228"/>
      <c r="G74" s="189">
        <v>0.8</v>
      </c>
      <c r="H74" s="103"/>
      <c r="I74" s="213"/>
      <c r="J74" s="214"/>
    </row>
    <row r="75" spans="3:10" ht="15" customHeight="1" x14ac:dyDescent="0.25">
      <c r="C75" s="93"/>
      <c r="D75" s="227" t="s">
        <v>427</v>
      </c>
      <c r="E75" s="227"/>
      <c r="F75" s="228"/>
      <c r="G75" s="101">
        <f>IF(G73="Bitte wählen","Zielart wählen",ROUND(IF(OR(G73="Bachforelle",G73="Äsche",G73="Barbe"),0.19*G74,IF(G73="Seeforelle",0.21*G74,IF(G73="Lachs",0.17*G74,IF(G73="andere",I75*G74,"FEHLER")))),2))</f>
        <v>0.17</v>
      </c>
      <c r="H75" s="102" t="s">
        <v>189</v>
      </c>
      <c r="I75" s="217">
        <v>0.1</v>
      </c>
      <c r="J75" s="218"/>
    </row>
    <row r="76" spans="3:10" ht="15" customHeight="1" x14ac:dyDescent="0.25">
      <c r="C76" s="93"/>
      <c r="D76" s="227" t="s">
        <v>428</v>
      </c>
      <c r="E76" s="227"/>
      <c r="F76" s="228"/>
      <c r="G76" s="101">
        <f>IF(G73="Bitte wählen","Zielart wählen",ROUND(IF(OR(G73="Bachforelle",G73="Äsche",G73="Lachs"),0.1*G74,IF(OR(G73="Seeforelle",G73="Barbe"),0.12*G74,IF(G73="andere",I76*G74,"FEHLER"))),2))</f>
        <v>0.1</v>
      </c>
      <c r="H76" s="102" t="s">
        <v>190</v>
      </c>
      <c r="I76" s="217">
        <v>0.05</v>
      </c>
      <c r="J76" s="218"/>
    </row>
    <row r="77" spans="3:10" ht="15" customHeight="1" x14ac:dyDescent="0.25">
      <c r="C77" s="5"/>
      <c r="D77" s="5"/>
      <c r="E77" s="5"/>
      <c r="F77" s="2"/>
      <c r="G77" s="2"/>
      <c r="H77" s="1"/>
      <c r="I77" s="1"/>
      <c r="J77" s="1"/>
    </row>
    <row r="78" spans="3:10" ht="15" customHeight="1" x14ac:dyDescent="0.25">
      <c r="C78" s="229" t="s">
        <v>183</v>
      </c>
      <c r="D78" s="230"/>
      <c r="E78" s="230"/>
      <c r="F78" s="230"/>
      <c r="G78" s="230"/>
      <c r="H78" s="230"/>
      <c r="I78" s="230"/>
      <c r="J78" s="231"/>
    </row>
    <row r="79" spans="3:10" ht="15" customHeight="1" x14ac:dyDescent="0.25">
      <c r="C79" s="232" t="s">
        <v>336</v>
      </c>
      <c r="D79" s="233"/>
      <c r="E79" s="233"/>
      <c r="F79" s="233"/>
      <c r="G79" s="233"/>
      <c r="H79" s="233"/>
      <c r="I79" s="233"/>
      <c r="J79" s="234"/>
    </row>
    <row r="80" spans="3:10" ht="40.5" customHeight="1" x14ac:dyDescent="0.25">
      <c r="C80" s="235"/>
      <c r="D80" s="236"/>
      <c r="E80" s="236"/>
      <c r="F80" s="236"/>
      <c r="G80" s="236"/>
      <c r="H80" s="236"/>
      <c r="I80" s="236"/>
      <c r="J80" s="237"/>
    </row>
    <row r="81" spans="3:38" ht="15" customHeight="1" x14ac:dyDescent="0.25">
      <c r="C81" s="224" t="s">
        <v>185</v>
      </c>
      <c r="D81" s="225"/>
      <c r="E81" s="225"/>
      <c r="F81" s="225"/>
      <c r="G81" s="226"/>
      <c r="H81" s="223">
        <v>1</v>
      </c>
      <c r="I81" s="223"/>
      <c r="J81" s="223"/>
    </row>
    <row r="82" spans="3:38" ht="15" customHeight="1" x14ac:dyDescent="0.25">
      <c r="C82" s="87"/>
      <c r="D82" s="95"/>
      <c r="E82" s="95"/>
      <c r="F82" s="95"/>
      <c r="G82" s="95"/>
      <c r="H82" s="95"/>
      <c r="I82" s="95"/>
      <c r="J82" s="88"/>
    </row>
    <row r="83" spans="3:38" ht="15" customHeight="1" x14ac:dyDescent="0.25">
      <c r="C83" s="97"/>
      <c r="D83" s="219" t="s">
        <v>182</v>
      </c>
      <c r="E83" s="219"/>
      <c r="F83" s="98"/>
      <c r="G83" s="100" t="s">
        <v>175</v>
      </c>
      <c r="H83" s="102" t="s">
        <v>188</v>
      </c>
      <c r="I83" s="215"/>
      <c r="J83" s="216"/>
      <c r="AE83" s="19"/>
      <c r="AF83" s="5"/>
      <c r="AG83" s="5"/>
      <c r="AH83" s="5"/>
      <c r="AI83" s="5"/>
      <c r="AJ83" s="5"/>
      <c r="AK83" s="5"/>
      <c r="AL83" s="5"/>
    </row>
    <row r="84" spans="3:38" ht="15" customHeight="1" x14ac:dyDescent="0.25">
      <c r="C84" s="97"/>
      <c r="D84" s="219" t="s">
        <v>429</v>
      </c>
      <c r="E84" s="219"/>
      <c r="F84" s="220"/>
      <c r="G84" s="190"/>
      <c r="H84" s="103"/>
      <c r="I84" s="213"/>
      <c r="J84" s="214"/>
      <c r="AE84" s="7"/>
      <c r="AF84" s="5"/>
      <c r="AG84" s="5"/>
      <c r="AH84" s="5"/>
      <c r="AI84" s="5"/>
      <c r="AJ84" s="5"/>
      <c r="AK84" s="5"/>
      <c r="AL84" s="5"/>
    </row>
    <row r="85" spans="3:38" ht="15" customHeight="1" x14ac:dyDescent="0.25">
      <c r="C85" s="97"/>
      <c r="D85" s="219" t="s">
        <v>430</v>
      </c>
      <c r="E85" s="219"/>
      <c r="F85" s="220"/>
      <c r="G85" s="101" t="str">
        <f>IF(G83="Bitte wählen","Zielart wählen",ROUND(IF(OR(G83="Bachforelle",G83="Äsche",G83="Barbe"),0.19*G84,IF(G83="Seeforelle",0.21*G84,IF(G83="Lachs",0.17*G84,IF(G83="andere",I85*G84,"FEHLER")))),2))</f>
        <v>Zielart wählen</v>
      </c>
      <c r="H85" s="102" t="s">
        <v>189</v>
      </c>
      <c r="I85" s="217"/>
      <c r="J85" s="218"/>
      <c r="AE85" s="147"/>
      <c r="AF85" s="147"/>
      <c r="AG85" s="147"/>
      <c r="AH85" s="147"/>
      <c r="AI85" s="147"/>
      <c r="AJ85" s="147"/>
      <c r="AK85" s="147"/>
      <c r="AL85" s="147"/>
    </row>
    <row r="86" spans="3:38" ht="15" customHeight="1" x14ac:dyDescent="0.25">
      <c r="C86" s="97"/>
      <c r="D86" s="219" t="s">
        <v>431</v>
      </c>
      <c r="E86" s="219"/>
      <c r="F86" s="220"/>
      <c r="G86" s="101" t="str">
        <f>IF(G83="Bitte wählen","Zielart wählen",ROUND(IF(OR(G83="Bachforelle",G83="Äsche",G83="Lachs"),0.1*G84,IF(OR(G83="Seeforelle",G83="Barbe"),0.12*G84,IF(G83="andere",I86*G84,"FEHLER"))),2))</f>
        <v>Zielart wählen</v>
      </c>
      <c r="H86" s="102" t="s">
        <v>190</v>
      </c>
      <c r="I86" s="217"/>
      <c r="J86" s="218"/>
      <c r="AE86" s="221"/>
      <c r="AF86" s="148"/>
      <c r="AG86" s="148"/>
      <c r="AH86" s="148"/>
      <c r="AI86" s="148"/>
      <c r="AJ86" s="148"/>
      <c r="AK86" s="148"/>
      <c r="AL86" s="148"/>
    </row>
    <row r="87" spans="3:38" ht="15" customHeight="1" x14ac:dyDescent="0.25">
      <c r="C87" s="87"/>
      <c r="D87" s="95"/>
      <c r="E87" s="95"/>
      <c r="F87" s="95"/>
      <c r="G87" s="95"/>
      <c r="H87" s="95"/>
      <c r="I87" s="95"/>
      <c r="J87" s="88"/>
      <c r="AE87" s="222"/>
      <c r="AF87" s="148"/>
      <c r="AG87" s="148"/>
      <c r="AH87" s="148"/>
      <c r="AI87" s="148"/>
      <c r="AJ87" s="148"/>
      <c r="AK87" s="148"/>
      <c r="AL87" s="148"/>
    </row>
    <row r="88" spans="3:38" ht="15" customHeight="1" x14ac:dyDescent="0.25">
      <c r="C88" s="97"/>
      <c r="D88" s="219" t="s">
        <v>182</v>
      </c>
      <c r="E88" s="219"/>
      <c r="F88" s="98"/>
      <c r="G88" s="100" t="s">
        <v>175</v>
      </c>
      <c r="H88" s="102" t="s">
        <v>188</v>
      </c>
      <c r="I88" s="215"/>
      <c r="J88" s="216"/>
      <c r="AE88" s="222"/>
      <c r="AF88" s="148"/>
      <c r="AG88" s="148"/>
      <c r="AH88" s="148"/>
      <c r="AI88" s="148"/>
      <c r="AJ88" s="148"/>
      <c r="AK88" s="148"/>
      <c r="AL88" s="148"/>
    </row>
    <row r="89" spans="3:38" ht="15" customHeight="1" x14ac:dyDescent="0.25">
      <c r="C89" s="97"/>
      <c r="D89" s="219" t="s">
        <v>429</v>
      </c>
      <c r="E89" s="219"/>
      <c r="F89" s="220"/>
      <c r="G89" s="190"/>
      <c r="H89" s="103"/>
      <c r="I89" s="213"/>
      <c r="J89" s="214"/>
      <c r="AE89" s="221"/>
      <c r="AF89" s="148"/>
      <c r="AG89" s="148"/>
      <c r="AH89" s="148"/>
      <c r="AI89" s="148"/>
      <c r="AJ89" s="148"/>
      <c r="AK89" s="148"/>
      <c r="AL89" s="148"/>
    </row>
    <row r="90" spans="3:38" ht="15" customHeight="1" x14ac:dyDescent="0.25">
      <c r="C90" s="97"/>
      <c r="D90" s="219" t="s">
        <v>430</v>
      </c>
      <c r="E90" s="219"/>
      <c r="F90" s="220"/>
      <c r="G90" s="101" t="str">
        <f>IF(G88="Bitte wählen","Zielart wählen",ROUND(IF(OR(G88="Bachforelle",G88="Äsche",G88="Barbe"),0.19*G89,IF(G88="Seeforelle",0.21*G89,IF(G88="Lachs",0.17*G89,IF(G88="andere",I90*G89,"FEHLER")))),2))</f>
        <v>Zielart wählen</v>
      </c>
      <c r="H90" s="102" t="s">
        <v>189</v>
      </c>
      <c r="I90" s="217"/>
      <c r="J90" s="218"/>
      <c r="AE90" s="222"/>
      <c r="AF90" s="148"/>
      <c r="AG90" s="148"/>
      <c r="AH90" s="148"/>
      <c r="AI90" s="148"/>
      <c r="AJ90" s="148"/>
      <c r="AK90" s="148"/>
      <c r="AL90" s="148"/>
    </row>
    <row r="91" spans="3:38" ht="15" customHeight="1" x14ac:dyDescent="0.25">
      <c r="C91" s="97"/>
      <c r="D91" s="219" t="s">
        <v>431</v>
      </c>
      <c r="E91" s="219"/>
      <c r="F91" s="220"/>
      <c r="G91" s="101" t="str">
        <f>IF(G88="Bitte wählen","Zielart wählen",ROUND(IF(OR(G88="Bachforelle",G88="Äsche",G88="Lachs"),0.1*G89,IF(OR(G88="Seeforelle",G88="Barbe"),0.12*G89,IF(G88="andere",I91*G89,"FEHLER"))),2))</f>
        <v>Zielart wählen</v>
      </c>
      <c r="H91" s="102" t="s">
        <v>190</v>
      </c>
      <c r="I91" s="217"/>
      <c r="J91" s="218"/>
      <c r="AE91" s="222"/>
      <c r="AF91" s="148"/>
      <c r="AG91" s="148"/>
      <c r="AH91" s="148"/>
      <c r="AI91" s="148"/>
      <c r="AJ91" s="148"/>
      <c r="AK91" s="148"/>
      <c r="AL91" s="148"/>
    </row>
    <row r="92" spans="3:38" ht="15" customHeight="1" x14ac:dyDescent="0.25">
      <c r="C92" s="87"/>
      <c r="D92" s="95"/>
      <c r="E92" s="95"/>
      <c r="F92" s="95"/>
      <c r="G92" s="95"/>
      <c r="H92" s="95"/>
      <c r="I92" s="95"/>
      <c r="J92" s="88"/>
      <c r="AE92" s="221"/>
      <c r="AF92" s="148"/>
      <c r="AG92" s="148"/>
      <c r="AH92" s="148"/>
      <c r="AI92" s="148"/>
      <c r="AJ92" s="148"/>
      <c r="AK92" s="148"/>
      <c r="AL92" s="148"/>
    </row>
    <row r="93" spans="3:38" ht="15" customHeight="1" x14ac:dyDescent="0.25">
      <c r="C93" s="97"/>
      <c r="D93" s="219" t="s">
        <v>182</v>
      </c>
      <c r="E93" s="219"/>
      <c r="F93" s="98"/>
      <c r="G93" s="100" t="s">
        <v>175</v>
      </c>
      <c r="H93" s="102" t="s">
        <v>188</v>
      </c>
      <c r="I93" s="215"/>
      <c r="J93" s="216"/>
      <c r="AE93" s="222"/>
      <c r="AF93" s="148"/>
      <c r="AG93" s="148"/>
      <c r="AH93" s="148"/>
      <c r="AI93" s="148"/>
      <c r="AJ93" s="148"/>
      <c r="AK93" s="148"/>
      <c r="AL93" s="148"/>
    </row>
    <row r="94" spans="3:38" ht="15" customHeight="1" x14ac:dyDescent="0.25">
      <c r="C94" s="97"/>
      <c r="D94" s="219" t="s">
        <v>429</v>
      </c>
      <c r="E94" s="219"/>
      <c r="F94" s="220"/>
      <c r="G94" s="190"/>
      <c r="H94" s="103"/>
      <c r="I94" s="213"/>
      <c r="J94" s="214"/>
      <c r="AE94" s="222"/>
      <c r="AF94" s="148"/>
      <c r="AG94" s="148"/>
      <c r="AH94" s="148"/>
      <c r="AI94" s="148"/>
      <c r="AJ94" s="148"/>
      <c r="AK94" s="148"/>
      <c r="AL94" s="148"/>
    </row>
    <row r="95" spans="3:38" ht="15" customHeight="1" x14ac:dyDescent="0.25">
      <c r="C95" s="97"/>
      <c r="D95" s="219" t="s">
        <v>430</v>
      </c>
      <c r="E95" s="219"/>
      <c r="F95" s="220"/>
      <c r="G95" s="101" t="str">
        <f>IF(G93="Bitte wählen","Zielart wählen",ROUND(IF(OR(G93="Bachforelle",G93="Äsche",G93="Barbe"),0.19*G94,IF(G93="Seeforelle",0.21*G94,IF(G93="Lachs",0.17*G94,IF(G93="andere",I95*G94,"FEHLER")))),2))</f>
        <v>Zielart wählen</v>
      </c>
      <c r="H95" s="102" t="s">
        <v>189</v>
      </c>
      <c r="I95" s="217"/>
      <c r="J95" s="218"/>
      <c r="AE95" s="221"/>
      <c r="AF95" s="148"/>
      <c r="AG95" s="148"/>
      <c r="AH95" s="148"/>
      <c r="AI95" s="148"/>
      <c r="AJ95" s="148"/>
      <c r="AK95" s="148"/>
      <c r="AL95" s="148"/>
    </row>
    <row r="96" spans="3:38" ht="15" customHeight="1" x14ac:dyDescent="0.25">
      <c r="C96" s="97"/>
      <c r="D96" s="219" t="s">
        <v>431</v>
      </c>
      <c r="E96" s="219"/>
      <c r="F96" s="220"/>
      <c r="G96" s="101" t="str">
        <f>IF(G93="Bitte wählen","Zielart wählen",ROUND(IF(OR(G93="Bachforelle",G93="Äsche",G93="Lachs"),0.1*G94,IF(OR(G93="Seeforelle",G93="Barbe"),0.12*G94,IF(G93="andere",I96*G94,"FEHLER"))),2))</f>
        <v>Zielart wählen</v>
      </c>
      <c r="H96" s="102" t="s">
        <v>190</v>
      </c>
      <c r="I96" s="217"/>
      <c r="J96" s="218"/>
      <c r="AE96" s="222"/>
      <c r="AF96" s="148"/>
      <c r="AG96" s="148"/>
      <c r="AH96" s="148"/>
      <c r="AI96" s="148"/>
      <c r="AJ96" s="148"/>
      <c r="AK96" s="148"/>
      <c r="AL96" s="148"/>
    </row>
    <row r="97" spans="3:38" ht="15" customHeight="1" x14ac:dyDescent="0.25">
      <c r="C97" s="87"/>
      <c r="D97" s="95"/>
      <c r="E97" s="95"/>
      <c r="F97" s="95"/>
      <c r="G97" s="95"/>
      <c r="H97" s="95"/>
      <c r="I97" s="95"/>
      <c r="J97" s="88"/>
      <c r="AE97" s="222"/>
      <c r="AF97" s="148"/>
      <c r="AG97" s="148"/>
      <c r="AH97" s="148"/>
      <c r="AI97" s="148"/>
      <c r="AJ97" s="148"/>
      <c r="AK97" s="148"/>
      <c r="AL97" s="148"/>
    </row>
    <row r="98" spans="3:38" ht="15" customHeight="1" x14ac:dyDescent="0.25">
      <c r="C98" s="97"/>
      <c r="D98" s="219" t="s">
        <v>182</v>
      </c>
      <c r="E98" s="219"/>
      <c r="F98" s="98"/>
      <c r="G98" s="100" t="s">
        <v>175</v>
      </c>
      <c r="H98" s="102" t="s">
        <v>188</v>
      </c>
      <c r="I98" s="215"/>
      <c r="J98" s="216"/>
    </row>
    <row r="99" spans="3:38" ht="15" customHeight="1" x14ac:dyDescent="0.25">
      <c r="C99" s="97"/>
      <c r="D99" s="219" t="s">
        <v>429</v>
      </c>
      <c r="E99" s="219"/>
      <c r="F99" s="220"/>
      <c r="G99" s="190"/>
      <c r="H99" s="103"/>
      <c r="I99" s="213"/>
      <c r="J99" s="214"/>
    </row>
    <row r="100" spans="3:38" ht="15" customHeight="1" x14ac:dyDescent="0.25">
      <c r="C100" s="97"/>
      <c r="D100" s="219" t="s">
        <v>430</v>
      </c>
      <c r="E100" s="219"/>
      <c r="F100" s="220"/>
      <c r="G100" s="101" t="str">
        <f>IF(G98="Bitte wählen","Zielart wählen",ROUND(IF(OR(G98="Bachforelle",G98="Äsche",G98="Barbe"),0.19*G99,IF(G98="Seeforelle",0.21*G99,IF(G98="Lachs",0.17*G99,IF(G98="andere",I100*G99,"FEHLER")))),2))</f>
        <v>Zielart wählen</v>
      </c>
      <c r="H100" s="102" t="s">
        <v>189</v>
      </c>
      <c r="I100" s="217"/>
      <c r="J100" s="218"/>
    </row>
    <row r="101" spans="3:38" ht="15" customHeight="1" x14ac:dyDescent="0.25">
      <c r="C101" s="97"/>
      <c r="D101" s="219" t="s">
        <v>431</v>
      </c>
      <c r="E101" s="219"/>
      <c r="F101" s="220"/>
      <c r="G101" s="101" t="str">
        <f>IF(G98="Bitte wählen","Zielart wählen",ROUND(IF(OR(G98="Bachforelle",G98="Äsche",G98="Lachs"),0.1*G99,IF(OR(G98="Seeforelle",G98="Barbe"),0.12*G99,IF(G98="andere",I101*G99,"FEHLER"))),2))</f>
        <v>Zielart wählen</v>
      </c>
      <c r="H101" s="102" t="s">
        <v>190</v>
      </c>
      <c r="I101" s="217"/>
      <c r="J101" s="218"/>
    </row>
    <row r="102" spans="3:38" ht="15" customHeight="1" x14ac:dyDescent="0.25">
      <c r="C102" s="87"/>
      <c r="D102" s="95"/>
      <c r="E102" s="95"/>
      <c r="F102" s="95"/>
      <c r="G102" s="95"/>
      <c r="H102" s="95"/>
      <c r="I102" s="95"/>
      <c r="J102" s="88"/>
    </row>
    <row r="103" spans="3:38" ht="15" customHeight="1" x14ac:dyDescent="0.25">
      <c r="C103" s="97"/>
      <c r="D103" s="219" t="s">
        <v>182</v>
      </c>
      <c r="E103" s="219"/>
      <c r="F103" s="98"/>
      <c r="G103" s="100" t="s">
        <v>175</v>
      </c>
      <c r="H103" s="102" t="s">
        <v>188</v>
      </c>
      <c r="I103" s="215"/>
      <c r="J103" s="216"/>
    </row>
    <row r="104" spans="3:38" ht="15" customHeight="1" x14ac:dyDescent="0.25">
      <c r="C104" s="97"/>
      <c r="D104" s="219" t="s">
        <v>429</v>
      </c>
      <c r="E104" s="219"/>
      <c r="F104" s="220"/>
      <c r="G104" s="190"/>
      <c r="H104" s="103"/>
      <c r="I104" s="213"/>
      <c r="J104" s="214"/>
    </row>
    <row r="105" spans="3:38" ht="15" customHeight="1" x14ac:dyDescent="0.25">
      <c r="C105" s="97"/>
      <c r="D105" s="219" t="s">
        <v>430</v>
      </c>
      <c r="E105" s="219"/>
      <c r="F105" s="220"/>
      <c r="G105" s="101" t="str">
        <f>IF(G103="Bitte wählen","Zielart wählen",ROUND(IF(OR(G103="Bachforelle",G103="Äsche",G103="Barbe"),0.19*G104,IF(G103="Seeforelle",0.21*G104,IF(G103="Lachs",0.17*G104,IF(G103="andere",I105*G104,"FEHLER")))),2))</f>
        <v>Zielart wählen</v>
      </c>
      <c r="H105" s="102" t="s">
        <v>189</v>
      </c>
      <c r="I105" s="217"/>
      <c r="J105" s="218"/>
    </row>
    <row r="106" spans="3:38" ht="15" customHeight="1" x14ac:dyDescent="0.25">
      <c r="C106" s="97"/>
      <c r="D106" s="219" t="s">
        <v>431</v>
      </c>
      <c r="E106" s="219"/>
      <c r="F106" s="220"/>
      <c r="G106" s="101" t="str">
        <f>IF(G103="Bitte wählen","Zielart wählen",ROUND(IF(OR(G103="Bachforelle",G103="Äsche",G103="Lachs"),0.1*G104,IF(OR(G103="Seeforelle",G103="Barbe"),0.12*G104,IF(G103="andere",I106*G104,"FEHLER"))),2))</f>
        <v>Zielart wählen</v>
      </c>
      <c r="H106" s="102" t="s">
        <v>190</v>
      </c>
      <c r="I106" s="217"/>
      <c r="J106" s="218"/>
    </row>
    <row r="107" spans="3:38" ht="15" customHeight="1" x14ac:dyDescent="0.25">
      <c r="C107" s="87"/>
      <c r="D107" s="95"/>
      <c r="E107" s="95"/>
      <c r="F107" s="95"/>
      <c r="G107" s="95"/>
      <c r="H107" s="95"/>
      <c r="I107" s="95"/>
      <c r="J107" s="88"/>
    </row>
    <row r="108" spans="3:38" ht="15" customHeight="1" x14ac:dyDescent="0.25">
      <c r="C108" s="97"/>
      <c r="D108" s="219" t="s">
        <v>182</v>
      </c>
      <c r="E108" s="219"/>
      <c r="F108" s="98"/>
      <c r="G108" s="100" t="s">
        <v>175</v>
      </c>
      <c r="H108" s="102" t="s">
        <v>188</v>
      </c>
      <c r="I108" s="215"/>
      <c r="J108" s="216"/>
    </row>
    <row r="109" spans="3:38" ht="15" customHeight="1" x14ac:dyDescent="0.25">
      <c r="C109" s="97"/>
      <c r="D109" s="219" t="s">
        <v>429</v>
      </c>
      <c r="E109" s="219"/>
      <c r="F109" s="220"/>
      <c r="G109" s="190"/>
      <c r="H109" s="103"/>
      <c r="I109" s="213"/>
      <c r="J109" s="214"/>
    </row>
    <row r="110" spans="3:38" ht="15" customHeight="1" x14ac:dyDescent="0.25">
      <c r="C110" s="97"/>
      <c r="D110" s="219" t="s">
        <v>430</v>
      </c>
      <c r="E110" s="219"/>
      <c r="F110" s="220"/>
      <c r="G110" s="101" t="str">
        <f>IF(G108="Bitte wählen","Zielart wählen",ROUND(IF(OR(G108="Bachforelle",G108="Äsche",G108="Barbe"),0.19*G109,IF(G108="Seeforelle",0.21*G109,IF(G108="Lachs",0.17*G109,IF(G108="andere",I110*G109,"FEHLER")))),2))</f>
        <v>Zielart wählen</v>
      </c>
      <c r="H110" s="102" t="s">
        <v>189</v>
      </c>
      <c r="I110" s="217"/>
      <c r="J110" s="218"/>
    </row>
    <row r="111" spans="3:38" ht="15" customHeight="1" x14ac:dyDescent="0.25">
      <c r="C111" s="97"/>
      <c r="D111" s="219" t="s">
        <v>431</v>
      </c>
      <c r="E111" s="219"/>
      <c r="F111" s="220"/>
      <c r="G111" s="101" t="str">
        <f>IF(G108="Bitte wählen","Zielart wählen",ROUND(IF(OR(G108="Bachforelle",G108="Äsche",G108="Lachs"),0.1*G109,IF(OR(G108="Seeforelle",G108="Barbe"),0.12*G109,IF(G108="andere",I111*G109,"FEHLER"))),2))</f>
        <v>Zielart wählen</v>
      </c>
      <c r="H111" s="102" t="s">
        <v>190</v>
      </c>
      <c r="I111" s="217"/>
      <c r="J111" s="218"/>
    </row>
    <row r="112" spans="3:38" ht="15" customHeight="1" x14ac:dyDescent="0.25">
      <c r="C112" s="87"/>
      <c r="D112" s="95"/>
      <c r="E112" s="95"/>
      <c r="F112" s="95"/>
      <c r="G112" s="95"/>
      <c r="H112" s="95"/>
      <c r="I112" s="95"/>
      <c r="J112" s="88"/>
    </row>
    <row r="113" spans="3:10" ht="15" customHeight="1" x14ac:dyDescent="0.25">
      <c r="C113" s="97"/>
      <c r="D113" s="219" t="s">
        <v>182</v>
      </c>
      <c r="E113" s="219"/>
      <c r="F113" s="98"/>
      <c r="G113" s="100" t="s">
        <v>175</v>
      </c>
      <c r="H113" s="102" t="s">
        <v>188</v>
      </c>
      <c r="I113" s="215"/>
      <c r="J113" s="216"/>
    </row>
    <row r="114" spans="3:10" ht="15" customHeight="1" x14ac:dyDescent="0.25">
      <c r="C114" s="97"/>
      <c r="D114" s="219" t="s">
        <v>429</v>
      </c>
      <c r="E114" s="219"/>
      <c r="F114" s="220"/>
      <c r="G114" s="190"/>
      <c r="H114" s="103"/>
      <c r="I114" s="213"/>
      <c r="J114" s="214"/>
    </row>
    <row r="115" spans="3:10" ht="15" customHeight="1" x14ac:dyDescent="0.25">
      <c r="C115" s="97"/>
      <c r="D115" s="219" t="s">
        <v>430</v>
      </c>
      <c r="E115" s="219"/>
      <c r="F115" s="220"/>
      <c r="G115" s="101" t="str">
        <f>IF(G113="Bitte wählen","Zielart wählen",ROUND(IF(OR(G113="Bachforelle",G113="Äsche",G113="Barbe"),0.19*G114,IF(G113="Seeforelle",0.21*G114,IF(G113="Lachs",0.17*G114,IF(G113="andere",I115*G114,"FEHLER")))),2))</f>
        <v>Zielart wählen</v>
      </c>
      <c r="H115" s="102" t="s">
        <v>189</v>
      </c>
      <c r="I115" s="217"/>
      <c r="J115" s="218"/>
    </row>
    <row r="116" spans="3:10" ht="15" customHeight="1" x14ac:dyDescent="0.25">
      <c r="C116" s="97"/>
      <c r="D116" s="219" t="s">
        <v>431</v>
      </c>
      <c r="E116" s="219"/>
      <c r="F116" s="220"/>
      <c r="G116" s="101" t="str">
        <f>IF(G113="Bitte wählen","Zielart wählen",ROUND(IF(OR(G113="Bachforelle",G113="Äsche",G113="Lachs"),0.1*G114,IF(OR(G113="Seeforelle",G113="Barbe"),0.12*G114,IF(G113="andere",I116*G114,"FEHLER"))),2))</f>
        <v>Zielart wählen</v>
      </c>
      <c r="H116" s="102" t="s">
        <v>190</v>
      </c>
      <c r="I116" s="217"/>
      <c r="J116" s="218"/>
    </row>
    <row r="117" spans="3:10" ht="15" customHeight="1" x14ac:dyDescent="0.25">
      <c r="C117" s="87"/>
      <c r="D117" s="95"/>
      <c r="E117" s="95"/>
      <c r="F117" s="95"/>
      <c r="G117" s="95"/>
      <c r="H117" s="95"/>
      <c r="I117" s="95"/>
      <c r="J117" s="88"/>
    </row>
    <row r="118" spans="3:10" ht="15" customHeight="1" x14ac:dyDescent="0.25">
      <c r="C118" s="97"/>
      <c r="D118" s="219" t="s">
        <v>182</v>
      </c>
      <c r="E118" s="219"/>
      <c r="F118" s="98"/>
      <c r="G118" s="100" t="s">
        <v>175</v>
      </c>
      <c r="H118" s="102" t="s">
        <v>188</v>
      </c>
      <c r="I118" s="215"/>
      <c r="J118" s="216"/>
    </row>
    <row r="119" spans="3:10" ht="15" customHeight="1" x14ac:dyDescent="0.25">
      <c r="C119" s="97"/>
      <c r="D119" s="219" t="s">
        <v>429</v>
      </c>
      <c r="E119" s="219"/>
      <c r="F119" s="220"/>
      <c r="G119" s="190"/>
      <c r="H119" s="103"/>
      <c r="I119" s="213"/>
      <c r="J119" s="214"/>
    </row>
    <row r="120" spans="3:10" ht="15" customHeight="1" x14ac:dyDescent="0.25">
      <c r="C120" s="97"/>
      <c r="D120" s="219" t="s">
        <v>430</v>
      </c>
      <c r="E120" s="219"/>
      <c r="F120" s="220"/>
      <c r="G120" s="101" t="str">
        <f>IF(G118="Bitte wählen","Zielart wählen",ROUND(IF(OR(G118="Bachforelle",G118="Äsche",G118="Barbe"),0.19*G119,IF(G118="Seeforelle",0.21*G119,IF(G118="Lachs",0.17*G119,IF(G118="andere",I120*G119,"FEHLER")))),2))</f>
        <v>Zielart wählen</v>
      </c>
      <c r="H120" s="102" t="s">
        <v>189</v>
      </c>
      <c r="I120" s="217"/>
      <c r="J120" s="218"/>
    </row>
    <row r="121" spans="3:10" ht="15" customHeight="1" x14ac:dyDescent="0.25">
      <c r="C121" s="97"/>
      <c r="D121" s="219" t="s">
        <v>431</v>
      </c>
      <c r="E121" s="219"/>
      <c r="F121" s="220"/>
      <c r="G121" s="101" t="str">
        <f>IF(G118="Bitte wählen","Zielart wählen",ROUND(IF(OR(G118="Bachforelle",G118="Äsche",G118="Lachs"),0.1*G119,IF(OR(G118="Seeforelle",G118="Barbe"),0.12*G119,IF(G118="andere",I121*G119,"FEHLER"))),2))</f>
        <v>Zielart wählen</v>
      </c>
      <c r="H121" s="102" t="s">
        <v>190</v>
      </c>
      <c r="I121" s="217"/>
      <c r="J121" s="218"/>
    </row>
    <row r="122" spans="3:10" ht="15" customHeight="1" x14ac:dyDescent="0.25">
      <c r="C122" s="87"/>
      <c r="D122" s="95"/>
      <c r="E122" s="95"/>
      <c r="F122" s="95"/>
      <c r="G122" s="95"/>
      <c r="H122" s="95"/>
      <c r="I122" s="95"/>
      <c r="J122" s="88"/>
    </row>
    <row r="123" spans="3:10" ht="15" customHeight="1" x14ac:dyDescent="0.25">
      <c r="C123" s="97"/>
      <c r="D123" s="219" t="s">
        <v>182</v>
      </c>
      <c r="E123" s="219"/>
      <c r="F123" s="98"/>
      <c r="G123" s="100" t="s">
        <v>175</v>
      </c>
      <c r="H123" s="102" t="s">
        <v>188</v>
      </c>
      <c r="I123" s="215"/>
      <c r="J123" s="216"/>
    </row>
    <row r="124" spans="3:10" ht="15" customHeight="1" x14ac:dyDescent="0.25">
      <c r="C124" s="97"/>
      <c r="D124" s="219" t="s">
        <v>429</v>
      </c>
      <c r="E124" s="219"/>
      <c r="F124" s="220"/>
      <c r="G124" s="190"/>
      <c r="H124" s="103"/>
      <c r="I124" s="213"/>
      <c r="J124" s="214"/>
    </row>
    <row r="125" spans="3:10" ht="15" customHeight="1" x14ac:dyDescent="0.25">
      <c r="C125" s="97"/>
      <c r="D125" s="219" t="s">
        <v>430</v>
      </c>
      <c r="E125" s="219"/>
      <c r="F125" s="220"/>
      <c r="G125" s="101" t="str">
        <f>IF(G123="Bitte wählen","Zielart wählen",ROUND(IF(OR(G123="Bachforelle",G123="Äsche",G123="Barbe"),0.19*G124,IF(G123="Seeforelle",0.21*G124,IF(G123="Lachs",0.17*G124,IF(G123="andere",I125*G124,"FEHLER")))),2))</f>
        <v>Zielart wählen</v>
      </c>
      <c r="H125" s="102" t="s">
        <v>189</v>
      </c>
      <c r="I125" s="217"/>
      <c r="J125" s="218"/>
    </row>
    <row r="126" spans="3:10" ht="15" customHeight="1" x14ac:dyDescent="0.25">
      <c r="C126" s="97"/>
      <c r="D126" s="219" t="s">
        <v>431</v>
      </c>
      <c r="E126" s="219"/>
      <c r="F126" s="220"/>
      <c r="G126" s="101" t="str">
        <f>IF(G123="Bitte wählen","Zielart wählen",ROUND(IF(OR(G123="Bachforelle",G123="Äsche",G123="Lachs"),0.1*G124,IF(OR(G123="Seeforelle",G123="Barbe"),0.12*G124,IF(G123="andere",I126*G124,"FEHLER"))),2))</f>
        <v>Zielart wählen</v>
      </c>
      <c r="H126" s="102" t="s">
        <v>190</v>
      </c>
      <c r="I126" s="217"/>
      <c r="J126" s="218"/>
    </row>
    <row r="127" spans="3:10" ht="15" customHeight="1" x14ac:dyDescent="0.25">
      <c r="C127" s="87"/>
      <c r="D127" s="95"/>
      <c r="E127" s="95"/>
      <c r="F127" s="95"/>
      <c r="G127" s="95"/>
      <c r="H127" s="95"/>
      <c r="I127" s="95"/>
      <c r="J127" s="88"/>
    </row>
    <row r="128" spans="3:10" ht="15" customHeight="1" x14ac:dyDescent="0.25">
      <c r="C128" s="97"/>
      <c r="D128" s="219" t="s">
        <v>182</v>
      </c>
      <c r="E128" s="219"/>
      <c r="F128" s="98"/>
      <c r="G128" s="100" t="s">
        <v>175</v>
      </c>
      <c r="H128" s="102" t="s">
        <v>188</v>
      </c>
      <c r="I128" s="215"/>
      <c r="J128" s="216"/>
    </row>
    <row r="129" spans="3:10" ht="15" customHeight="1" x14ac:dyDescent="0.25">
      <c r="C129" s="97"/>
      <c r="D129" s="219" t="s">
        <v>429</v>
      </c>
      <c r="E129" s="219"/>
      <c r="F129" s="220"/>
      <c r="G129" s="190"/>
      <c r="H129" s="103"/>
      <c r="I129" s="213"/>
      <c r="J129" s="214"/>
    </row>
    <row r="130" spans="3:10" ht="15" customHeight="1" x14ac:dyDescent="0.25">
      <c r="C130" s="97"/>
      <c r="D130" s="219" t="s">
        <v>430</v>
      </c>
      <c r="E130" s="219"/>
      <c r="F130" s="220"/>
      <c r="G130" s="101" t="str">
        <f>IF(G128="Bitte wählen","Zielart wählen",ROUND(IF(OR(G128="Bachforelle",G128="Äsche",G128="Barbe"),0.19*G129,IF(G128="Seeforelle",0.21*G129,IF(G128="Lachs",0.17*G129,IF(G128="andere",I130*G129,"FEHLER")))),2))</f>
        <v>Zielart wählen</v>
      </c>
      <c r="H130" s="102" t="s">
        <v>189</v>
      </c>
      <c r="I130" s="217"/>
      <c r="J130" s="218"/>
    </row>
    <row r="131" spans="3:10" ht="15" customHeight="1" x14ac:dyDescent="0.25">
      <c r="C131" s="97"/>
      <c r="D131" s="219" t="s">
        <v>431</v>
      </c>
      <c r="E131" s="219"/>
      <c r="F131" s="220"/>
      <c r="G131" s="101" t="str">
        <f>IF(G128="Bitte wählen","Zielart wählen",ROUND(IF(OR(G128="Bachforelle",G128="Äsche",G128="Lachs"),0.1*G129,IF(OR(G128="Seeforelle",G128="Barbe"),0.12*G129,IF(G128="andere",I131*G129,"FEHLER"))),2))</f>
        <v>Zielart wählen</v>
      </c>
      <c r="H131" s="102" t="s">
        <v>190</v>
      </c>
      <c r="I131" s="217"/>
      <c r="J131" s="218"/>
    </row>
  </sheetData>
  <sheetProtection algorithmName="SHA-512" hashValue="o7JBO5fY7MQ38Oq8pnJ4AuAxE/LqBcPke7qwsne+BXFz1vrK/FLB5KyjaS51a2+rHv4KGsxp4XqJ7E7c4vNJcA==" saltValue="JSso7v56XZ4eosyGSr7QRw==" spinCount="100000" sheet="1" objects="1" scenarios="1"/>
  <mergeCells count="148">
    <mergeCell ref="C71:J72"/>
    <mergeCell ref="A55:AB55"/>
    <mergeCell ref="C58:G58"/>
    <mergeCell ref="H58:J58"/>
    <mergeCell ref="C59:G59"/>
    <mergeCell ref="H59:J59"/>
    <mergeCell ref="C70:H70"/>
    <mergeCell ref="Y47:AB47"/>
    <mergeCell ref="Y48:AB48"/>
    <mergeCell ref="H50:J50"/>
    <mergeCell ref="R47:U47"/>
    <mergeCell ref="A63:AB63"/>
    <mergeCell ref="C66:F66"/>
    <mergeCell ref="H66:J66"/>
    <mergeCell ref="C67:F67"/>
    <mergeCell ref="H67:J67"/>
    <mergeCell ref="H51:J51"/>
    <mergeCell ref="V47:X47"/>
    <mergeCell ref="H48:K48"/>
    <mergeCell ref="L48:Q48"/>
    <mergeCell ref="R48:U48"/>
    <mergeCell ref="V48:X48"/>
    <mergeCell ref="H47:K47"/>
    <mergeCell ref="L47:Q47"/>
    <mergeCell ref="C50:G50"/>
    <mergeCell ref="C51:G51"/>
    <mergeCell ref="C47:G48"/>
    <mergeCell ref="A44:AB44"/>
    <mergeCell ref="F14:P14"/>
    <mergeCell ref="F17:P17"/>
    <mergeCell ref="F20:P20"/>
    <mergeCell ref="F23:P23"/>
    <mergeCell ref="F26:P26"/>
    <mergeCell ref="F29:P29"/>
    <mergeCell ref="E36:P36"/>
    <mergeCell ref="E38:P38"/>
    <mergeCell ref="E34:P34"/>
    <mergeCell ref="D28:D29"/>
    <mergeCell ref="Y49:Z49"/>
    <mergeCell ref="A3:D3"/>
    <mergeCell ref="E28:P28"/>
    <mergeCell ref="D13:D14"/>
    <mergeCell ref="D16:D17"/>
    <mergeCell ref="D19:D20"/>
    <mergeCell ref="D22:D23"/>
    <mergeCell ref="D25:D26"/>
    <mergeCell ref="E13:P13"/>
    <mergeCell ref="E25:P25"/>
    <mergeCell ref="E22:P22"/>
    <mergeCell ref="E19:P19"/>
    <mergeCell ref="E16:P16"/>
    <mergeCell ref="A5:AB5"/>
    <mergeCell ref="D76:F76"/>
    <mergeCell ref="C78:J78"/>
    <mergeCell ref="D73:E73"/>
    <mergeCell ref="C79:J80"/>
    <mergeCell ref="I76:J76"/>
    <mergeCell ref="I75:J75"/>
    <mergeCell ref="I74:J74"/>
    <mergeCell ref="I73:J73"/>
    <mergeCell ref="I85:J85"/>
    <mergeCell ref="I84:J84"/>
    <mergeCell ref="I83:J83"/>
    <mergeCell ref="D74:F74"/>
    <mergeCell ref="D75:F75"/>
    <mergeCell ref="D99:F99"/>
    <mergeCell ref="D100:F100"/>
    <mergeCell ref="D101:F101"/>
    <mergeCell ref="D95:F95"/>
    <mergeCell ref="D96:F96"/>
    <mergeCell ref="D98:E98"/>
    <mergeCell ref="D91:F91"/>
    <mergeCell ref="D94:F94"/>
    <mergeCell ref="D89:F89"/>
    <mergeCell ref="D90:F90"/>
    <mergeCell ref="AE86:AE88"/>
    <mergeCell ref="AE89:AE91"/>
    <mergeCell ref="AE92:AE94"/>
    <mergeCell ref="AE95:AE97"/>
    <mergeCell ref="H81:J81"/>
    <mergeCell ref="D83:E83"/>
    <mergeCell ref="D88:E88"/>
    <mergeCell ref="D93:E93"/>
    <mergeCell ref="C81:G81"/>
    <mergeCell ref="I89:J89"/>
    <mergeCell ref="I88:J88"/>
    <mergeCell ref="D84:F84"/>
    <mergeCell ref="D85:F85"/>
    <mergeCell ref="D86:F86"/>
    <mergeCell ref="D114:F114"/>
    <mergeCell ref="D115:F115"/>
    <mergeCell ref="D116:F116"/>
    <mergeCell ref="D110:F110"/>
    <mergeCell ref="D111:F111"/>
    <mergeCell ref="D113:E113"/>
    <mergeCell ref="D105:F105"/>
    <mergeCell ref="I104:J104"/>
    <mergeCell ref="I103:J103"/>
    <mergeCell ref="D103:E103"/>
    <mergeCell ref="D106:F106"/>
    <mergeCell ref="D109:F109"/>
    <mergeCell ref="D104:F104"/>
    <mergeCell ref="I116:J116"/>
    <mergeCell ref="I115:J115"/>
    <mergeCell ref="I114:J114"/>
    <mergeCell ref="I113:J113"/>
    <mergeCell ref="I111:J111"/>
    <mergeCell ref="D108:E108"/>
    <mergeCell ref="I131:J131"/>
    <mergeCell ref="I130:J130"/>
    <mergeCell ref="I129:J129"/>
    <mergeCell ref="I128:J128"/>
    <mergeCell ref="I126:J126"/>
    <mergeCell ref="D118:E118"/>
    <mergeCell ref="D123:E123"/>
    <mergeCell ref="I119:J119"/>
    <mergeCell ref="I118:J118"/>
    <mergeCell ref="I125:J125"/>
    <mergeCell ref="I124:J124"/>
    <mergeCell ref="I123:J123"/>
    <mergeCell ref="I121:J121"/>
    <mergeCell ref="I120:J120"/>
    <mergeCell ref="D129:F129"/>
    <mergeCell ref="D130:F130"/>
    <mergeCell ref="D131:F131"/>
    <mergeCell ref="D125:F125"/>
    <mergeCell ref="D126:F126"/>
    <mergeCell ref="D128:E128"/>
    <mergeCell ref="D121:F121"/>
    <mergeCell ref="D124:F124"/>
    <mergeCell ref="D119:F119"/>
    <mergeCell ref="D120:F120"/>
    <mergeCell ref="I99:J99"/>
    <mergeCell ref="I98:J98"/>
    <mergeCell ref="I96:J96"/>
    <mergeCell ref="I110:J110"/>
    <mergeCell ref="I109:J109"/>
    <mergeCell ref="I108:J108"/>
    <mergeCell ref="I106:J106"/>
    <mergeCell ref="I105:J105"/>
    <mergeCell ref="I86:J86"/>
    <mergeCell ref="I95:J95"/>
    <mergeCell ref="I94:J94"/>
    <mergeCell ref="I93:J93"/>
    <mergeCell ref="I91:J91"/>
    <mergeCell ref="I90:J90"/>
    <mergeCell ref="I101:J101"/>
    <mergeCell ref="I100:J100"/>
  </mergeCells>
  <conditionalFormatting sqref="C83:G86">
    <cfRule type="expression" dxfId="1857" priority="80">
      <formula>$H$81&gt;0</formula>
    </cfRule>
  </conditionalFormatting>
  <conditionalFormatting sqref="C88:G91">
    <cfRule type="expression" dxfId="1856" priority="120">
      <formula>$H$81&gt;1</formula>
    </cfRule>
  </conditionalFormatting>
  <conditionalFormatting sqref="C93:G96">
    <cfRule type="expression" dxfId="1855" priority="119">
      <formula>$H$81&gt;2</formula>
    </cfRule>
  </conditionalFormatting>
  <conditionalFormatting sqref="C98:G101">
    <cfRule type="expression" dxfId="1854" priority="118">
      <formula>$H$81&gt;3</formula>
    </cfRule>
  </conditionalFormatting>
  <conditionalFormatting sqref="C103:G106">
    <cfRule type="expression" dxfId="1853" priority="117">
      <formula>$H$81&gt;4</formula>
    </cfRule>
  </conditionalFormatting>
  <conditionalFormatting sqref="C108:G111">
    <cfRule type="expression" dxfId="1852" priority="116">
      <formula>$H$81&gt;5</formula>
    </cfRule>
  </conditionalFormatting>
  <conditionalFormatting sqref="C113:G116">
    <cfRule type="expression" dxfId="1851" priority="115">
      <formula>$H$81&gt;6</formula>
    </cfRule>
  </conditionalFormatting>
  <conditionalFormatting sqref="C118:G121">
    <cfRule type="expression" dxfId="1850" priority="114">
      <formula>$H$81&gt;7</formula>
    </cfRule>
  </conditionalFormatting>
  <conditionalFormatting sqref="C123:G126">
    <cfRule type="expression" dxfId="1849" priority="113">
      <formula>$H$81&gt;8</formula>
    </cfRule>
  </conditionalFormatting>
  <conditionalFormatting sqref="C128:G131">
    <cfRule type="expression" dxfId="1848" priority="112">
      <formula>$H$81&gt;9</formula>
    </cfRule>
  </conditionalFormatting>
  <conditionalFormatting sqref="D73">
    <cfRule type="expression" dxfId="1847" priority="83">
      <formula>$H$81&gt;0</formula>
    </cfRule>
  </conditionalFormatting>
  <conditionalFormatting sqref="D85:J86">
    <cfRule type="expression" dxfId="1846" priority="54">
      <formula>ISBLANK($G$84)=TRUE</formula>
    </cfRule>
  </conditionalFormatting>
  <conditionalFormatting sqref="D90:J91">
    <cfRule type="expression" dxfId="1845" priority="53">
      <formula>ISBLANK($G$89)=TRUE</formula>
    </cfRule>
  </conditionalFormatting>
  <conditionalFormatting sqref="D95:J96">
    <cfRule type="expression" dxfId="1844" priority="52">
      <formula>ISBLANK($G$94)=TRUE</formula>
    </cfRule>
  </conditionalFormatting>
  <conditionalFormatting sqref="D100:J101">
    <cfRule type="expression" dxfId="1843" priority="51">
      <formula>ISBLANK($G$99)=TRUE</formula>
    </cfRule>
  </conditionalFormatting>
  <conditionalFormatting sqref="D105:J106">
    <cfRule type="expression" dxfId="1842" priority="50">
      <formula>ISBLANK($G$104)=TRUE</formula>
    </cfRule>
  </conditionalFormatting>
  <conditionalFormatting sqref="D110:J111">
    <cfRule type="expression" dxfId="1841" priority="49">
      <formula>ISBLANK($G$109)=TRUE</formula>
    </cfRule>
  </conditionalFormatting>
  <conditionalFormatting sqref="D115:J116">
    <cfRule type="expression" dxfId="1840" priority="48">
      <formula>ISBLANK($G$114)=TRUE</formula>
    </cfRule>
  </conditionalFormatting>
  <conditionalFormatting sqref="D120:J121">
    <cfRule type="expression" dxfId="1839" priority="47">
      <formula>ISBLANK($G$119)=TRUE</formula>
    </cfRule>
  </conditionalFormatting>
  <conditionalFormatting sqref="D125:J126">
    <cfRule type="expression" dxfId="1838" priority="46">
      <formula>ISBLANK($G$124)=TRUE</formula>
    </cfRule>
  </conditionalFormatting>
  <conditionalFormatting sqref="D130:J131">
    <cfRule type="expression" dxfId="1837" priority="45">
      <formula>ISBLANK($G$129)=TRUE</formula>
    </cfRule>
  </conditionalFormatting>
  <conditionalFormatting sqref="G75:G76">
    <cfRule type="expression" dxfId="1836" priority="56">
      <formula>$H$81&gt;0</formula>
    </cfRule>
  </conditionalFormatting>
  <conditionalFormatting sqref="G83:G84">
    <cfRule type="expression" dxfId="1835" priority="102">
      <formula>$H$81&gt;0</formula>
    </cfRule>
  </conditionalFormatting>
  <conditionalFormatting sqref="G88:G89">
    <cfRule type="expression" dxfId="1834" priority="101">
      <formula>$H$81&gt;1</formula>
    </cfRule>
  </conditionalFormatting>
  <conditionalFormatting sqref="G93:G94">
    <cfRule type="expression" dxfId="1833" priority="100">
      <formula>$H$81&gt;2</formula>
    </cfRule>
  </conditionalFormatting>
  <conditionalFormatting sqref="G98:G99">
    <cfRule type="expression" dxfId="1832" priority="99">
      <formula>$H$81&gt;3</formula>
    </cfRule>
  </conditionalFormatting>
  <conditionalFormatting sqref="G103:G104">
    <cfRule type="expression" dxfId="1831" priority="98">
      <formula>$H$81&gt;4</formula>
    </cfRule>
  </conditionalFormatting>
  <conditionalFormatting sqref="G108:G109">
    <cfRule type="expression" dxfId="1830" priority="97">
      <formula>$H$81&gt;5</formula>
    </cfRule>
  </conditionalFormatting>
  <conditionalFormatting sqref="G113:G114">
    <cfRule type="expression" dxfId="1829" priority="96">
      <formula>$H$81&gt;6</formula>
    </cfRule>
  </conditionalFormatting>
  <conditionalFormatting sqref="G118:G119">
    <cfRule type="expression" dxfId="1828" priority="95">
      <formula>$H$81&gt;7</formula>
    </cfRule>
  </conditionalFormatting>
  <conditionalFormatting sqref="G123:G124">
    <cfRule type="expression" dxfId="1827" priority="94">
      <formula>$H$81&gt;8</formula>
    </cfRule>
  </conditionalFormatting>
  <conditionalFormatting sqref="G128:G129">
    <cfRule type="expression" dxfId="1826" priority="93">
      <formula>$H$81&gt;9</formula>
    </cfRule>
  </conditionalFormatting>
  <conditionalFormatting sqref="H73:J76">
    <cfRule type="expression" dxfId="1825" priority="59">
      <formula>$G$73="andere"</formula>
    </cfRule>
  </conditionalFormatting>
  <conditionalFormatting sqref="H83:J86">
    <cfRule type="expression" dxfId="1824" priority="69">
      <formula>AND($G$83="andere",$H$81&gt;0)</formula>
    </cfRule>
  </conditionalFormatting>
  <conditionalFormatting sqref="H88:J91">
    <cfRule type="expression" dxfId="1823" priority="68">
      <formula>AND($G$88="andere",$H$81&gt;1)</formula>
    </cfRule>
  </conditionalFormatting>
  <conditionalFormatting sqref="H93:J96">
    <cfRule type="expression" dxfId="1822" priority="78">
      <formula>AND($G$93="andere",$H$81&gt;2)</formula>
    </cfRule>
  </conditionalFormatting>
  <conditionalFormatting sqref="H98:J101">
    <cfRule type="expression" dxfId="1821" priority="77">
      <formula>AND($G$98="andere",$H$81&gt;3)</formula>
    </cfRule>
  </conditionalFormatting>
  <conditionalFormatting sqref="H103:J106">
    <cfRule type="expression" dxfId="1820" priority="76">
      <formula>AND($G$103="andere",$H$81&gt;4)</formula>
    </cfRule>
  </conditionalFormatting>
  <conditionalFormatting sqref="H108:J111">
    <cfRule type="expression" dxfId="1819" priority="75">
      <formula>AND($G$108="andere",$H$81&gt;5)</formula>
    </cfRule>
  </conditionalFormatting>
  <conditionalFormatting sqref="H113:J116">
    <cfRule type="expression" dxfId="1818" priority="74">
      <formula>AND($G$113="andere",$H$81&gt;6)</formula>
    </cfRule>
  </conditionalFormatting>
  <conditionalFormatting sqref="H118:J121">
    <cfRule type="expression" dxfId="1817" priority="73">
      <formula>AND($G$118="andere",$H$81&gt;7)</formula>
    </cfRule>
  </conditionalFormatting>
  <conditionalFormatting sqref="H123:J126">
    <cfRule type="expression" dxfId="1816" priority="72">
      <formula>AND($G$123="andere",$H$81&gt;8)</formula>
    </cfRule>
  </conditionalFormatting>
  <conditionalFormatting sqref="H128:J131">
    <cfRule type="expression" dxfId="1815" priority="71">
      <formula>AND($G$128="andere",$H$81&gt;9)</formula>
    </cfRule>
  </conditionalFormatting>
  <conditionalFormatting sqref="I90:I91 I88">
    <cfRule type="expression" dxfId="1814" priority="79">
      <formula>AND($G$88="andere",$H$81&gt;1)</formula>
    </cfRule>
  </conditionalFormatting>
  <conditionalFormatting sqref="I95:I96 I93">
    <cfRule type="expression" dxfId="1813" priority="67">
      <formula>AND($G$93="andere",$H$81&gt;2)</formula>
    </cfRule>
  </conditionalFormatting>
  <conditionalFormatting sqref="I100:I101 I98">
    <cfRule type="expression" dxfId="1812" priority="66">
      <formula>AND($G$98="andere",$H$81&gt;3)</formula>
    </cfRule>
  </conditionalFormatting>
  <conditionalFormatting sqref="I105:I106 I103">
    <cfRule type="expression" dxfId="1811" priority="65">
      <formula>AND($G$103="andere",$H$81&gt;4)</formula>
    </cfRule>
  </conditionalFormatting>
  <conditionalFormatting sqref="I110:I111 I108">
    <cfRule type="expression" dxfId="1810" priority="64">
      <formula>AND($G$108="andere",$H$81&gt;5)</formula>
    </cfRule>
  </conditionalFormatting>
  <conditionalFormatting sqref="I115:I116 I113">
    <cfRule type="expression" dxfId="1809" priority="63">
      <formula>AND($G$113="andere",$H$81&gt;6)</formula>
    </cfRule>
  </conditionalFormatting>
  <conditionalFormatting sqref="I120:I121 I118">
    <cfRule type="expression" dxfId="1808" priority="62">
      <formula>AND($G$118="andere",$H$81&gt;7)</formula>
    </cfRule>
  </conditionalFormatting>
  <conditionalFormatting sqref="I125:I126 I123">
    <cfRule type="expression" dxfId="1807" priority="61">
      <formula>AND($G$123="andere",$H$81&gt;8)</formula>
    </cfRule>
  </conditionalFormatting>
  <conditionalFormatting sqref="I130:I131 I128">
    <cfRule type="expression" dxfId="1806" priority="60">
      <formula>AND($G$128="andere",$H$81&gt;9)</formula>
    </cfRule>
  </conditionalFormatting>
  <conditionalFormatting sqref="I73:J73 I75:J76">
    <cfRule type="expression" dxfId="1805" priority="58">
      <formula>$G$73="andere"</formula>
    </cfRule>
  </conditionalFormatting>
  <conditionalFormatting sqref="I85:J86 I83:J83">
    <cfRule type="expression" dxfId="1804" priority="55">
      <formula>AND($G$83="andere",$H$81&gt;0)</formula>
    </cfRule>
  </conditionalFormatting>
  <conditionalFormatting sqref="I1:AB4 I6:AB12 Q13:AB14 I15:AB15 Q16:AB17 I18:AB18 Q19:AB20 I21:AB21 Q22:AB23 I24:AB24 Q25:AB26 I27:AB27 Q28:AB29 I30:AB33 Q34:AB34 I35:AB35 Q36:AB36 I37:AB37 Q38:AB38 I39:AB43 I45:AB46 I49:X49 I50:AB54 I56:AB62 I64:AB65 K66:AB131 I132:AB1048576">
    <cfRule type="cellIs" dxfId="1803" priority="1864" operator="equal">
      <formula>"schlecht"</formula>
    </cfRule>
    <cfRule type="cellIs" dxfId="1802" priority="1862" operator="equal">
      <formula>"mässig"</formula>
    </cfRule>
    <cfRule type="cellIs" dxfId="1801" priority="1863" operator="equal">
      <formula>"gut"</formula>
    </cfRule>
  </conditionalFormatting>
  <conditionalFormatting sqref="V47 L47:L48 R47:R48">
    <cfRule type="cellIs" dxfId="1800" priority="125" operator="equal">
      <formula>"mässig"</formula>
    </cfRule>
    <cfRule type="cellIs" dxfId="1799" priority="126" operator="equal">
      <formula>"gut"</formula>
    </cfRule>
    <cfRule type="cellIs" dxfId="1798" priority="127" operator="equal">
      <formula>"schlecht"</formula>
    </cfRule>
  </conditionalFormatting>
  <conditionalFormatting sqref="Y47:Y49 AA49:AB49 I77:J77">
    <cfRule type="cellIs" dxfId="1797" priority="122" operator="equal">
      <formula>"mässig"</formula>
    </cfRule>
    <cfRule type="cellIs" dxfId="1796" priority="124" operator="equal">
      <formula>"schlecht"</formula>
    </cfRule>
    <cfRule type="cellIs" dxfId="1795" priority="123" operator="equal">
      <formula>"gut"</formula>
    </cfRule>
  </conditionalFormatting>
  <dataValidations count="6">
    <dataValidation type="list" allowBlank="1" showInputMessage="1" showErrorMessage="1" sqref="H67:J67" xr:uid="{1A5672F8-F019-4FC6-AA8D-8D7D20015C3E}">
      <formula1>"Bitte wählen, ja, nein"</formula1>
    </dataValidation>
    <dataValidation type="list" allowBlank="1" showInputMessage="1" showErrorMessage="1" sqref="H66:J66" xr:uid="{05CF5BFE-F4D3-4D6D-92DD-3C588FEE7EBC}">
      <formula1>"Bitte wählen, Obere Forellenregion, Untere Forellenregion, Äschenregion, Barbenregion"</formula1>
    </dataValidation>
    <dataValidation type="list" allowBlank="1" showInputMessage="1" showErrorMessage="1" sqref="H50:J50" xr:uid="{73D351DD-9CC0-4F1B-B532-CE58E0516FCB}">
      <formula1>"Bitte wählen, &lt; 50 m, &gt; 50 m"</formula1>
    </dataValidation>
    <dataValidation type="decimal" allowBlank="1" showInputMessage="1" showErrorMessage="1" sqref="H51:J51 H59:J59" xr:uid="{D0504370-BA0D-4E39-97DA-261331FDF207}">
      <formula1>0</formula1>
      <formula2>100000</formula2>
    </dataValidation>
    <dataValidation type="decimal" allowBlank="1" showInputMessage="1" showErrorMessage="1" sqref="G74 G129 G104 G124 G84 G119 G99 G114 G89 G109 G94" xr:uid="{B76C3A68-CE0F-4419-9A36-D227B68A3449}">
      <formula1>0</formula1>
      <formula2>5</formula2>
    </dataValidation>
    <dataValidation type="list" allowBlank="1" showInputMessage="1" showErrorMessage="1" sqref="G73 G128 G103 G123 G83 G118 G98 G113 G88 G108 G93" xr:uid="{77BDF498-C793-49B1-9282-56A1557D7D8F}">
      <formula1>"Bitte wählen, Bachforelle, Äsche, Barbe, Seeforelle, Lachs, andere"</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Check Box 1">
              <controlPr locked="0" defaultSize="0" autoFill="0" autoLine="0" autoPict="0" altText="">
                <anchor moveWithCells="1">
                  <from>
                    <xdr:col>3</xdr:col>
                    <xdr:colOff>22860</xdr:colOff>
                    <xdr:row>11</xdr:row>
                    <xdr:rowOff>129540</xdr:rowOff>
                  </from>
                  <to>
                    <xdr:col>4</xdr:col>
                    <xdr:colOff>53340</xdr:colOff>
                    <xdr:row>13</xdr:row>
                    <xdr:rowOff>68580</xdr:rowOff>
                  </to>
                </anchor>
              </controlPr>
            </control>
          </mc:Choice>
        </mc:AlternateContent>
        <mc:AlternateContent xmlns:mc="http://schemas.openxmlformats.org/markup-compatibility/2006">
          <mc:Choice Requires="x14">
            <control shapeId="6146" r:id="rId6" name="Check Box 2">
              <controlPr locked="0" defaultSize="0" autoFill="0" autoLine="0" autoPict="0" altText="">
                <anchor moveWithCells="1">
                  <from>
                    <xdr:col>3</xdr:col>
                    <xdr:colOff>22860</xdr:colOff>
                    <xdr:row>14</xdr:row>
                    <xdr:rowOff>129540</xdr:rowOff>
                  </from>
                  <to>
                    <xdr:col>4</xdr:col>
                    <xdr:colOff>53340</xdr:colOff>
                    <xdr:row>16</xdr:row>
                    <xdr:rowOff>68580</xdr:rowOff>
                  </to>
                </anchor>
              </controlPr>
            </control>
          </mc:Choice>
        </mc:AlternateContent>
        <mc:AlternateContent xmlns:mc="http://schemas.openxmlformats.org/markup-compatibility/2006">
          <mc:Choice Requires="x14">
            <control shapeId="6147" r:id="rId7" name="Check Box 3">
              <controlPr locked="0" defaultSize="0" autoFill="0" autoLine="0" autoPict="0" altText="">
                <anchor moveWithCells="1">
                  <from>
                    <xdr:col>3</xdr:col>
                    <xdr:colOff>22860</xdr:colOff>
                    <xdr:row>17</xdr:row>
                    <xdr:rowOff>160020</xdr:rowOff>
                  </from>
                  <to>
                    <xdr:col>4</xdr:col>
                    <xdr:colOff>60960</xdr:colOff>
                    <xdr:row>19</xdr:row>
                    <xdr:rowOff>68580</xdr:rowOff>
                  </to>
                </anchor>
              </controlPr>
            </control>
          </mc:Choice>
        </mc:AlternateContent>
        <mc:AlternateContent xmlns:mc="http://schemas.openxmlformats.org/markup-compatibility/2006">
          <mc:Choice Requires="x14">
            <control shapeId="6148" r:id="rId8" name="Check Box 4">
              <controlPr locked="0" defaultSize="0" autoFill="0" autoLine="0" autoPict="0" altText="">
                <anchor moveWithCells="1">
                  <from>
                    <xdr:col>3</xdr:col>
                    <xdr:colOff>22860</xdr:colOff>
                    <xdr:row>20</xdr:row>
                    <xdr:rowOff>160020</xdr:rowOff>
                  </from>
                  <to>
                    <xdr:col>4</xdr:col>
                    <xdr:colOff>76200</xdr:colOff>
                    <xdr:row>22</xdr:row>
                    <xdr:rowOff>76200</xdr:rowOff>
                  </to>
                </anchor>
              </controlPr>
            </control>
          </mc:Choice>
        </mc:AlternateContent>
        <mc:AlternateContent xmlns:mc="http://schemas.openxmlformats.org/markup-compatibility/2006">
          <mc:Choice Requires="x14">
            <control shapeId="6149" r:id="rId9" name="Check Box 5">
              <controlPr locked="0" defaultSize="0" autoFill="0" autoLine="0" autoPict="0" altText="">
                <anchor moveWithCells="1">
                  <from>
                    <xdr:col>3</xdr:col>
                    <xdr:colOff>22860</xdr:colOff>
                    <xdr:row>23</xdr:row>
                    <xdr:rowOff>152400</xdr:rowOff>
                  </from>
                  <to>
                    <xdr:col>4</xdr:col>
                    <xdr:colOff>53340</xdr:colOff>
                    <xdr:row>25</xdr:row>
                    <xdr:rowOff>83820</xdr:rowOff>
                  </to>
                </anchor>
              </controlPr>
            </control>
          </mc:Choice>
        </mc:AlternateContent>
        <mc:AlternateContent xmlns:mc="http://schemas.openxmlformats.org/markup-compatibility/2006">
          <mc:Choice Requires="x14">
            <control shapeId="6150" r:id="rId10" name="Check Box 6">
              <controlPr locked="0" defaultSize="0" autoFill="0" autoLine="0" autoPict="0" altText="">
                <anchor moveWithCells="1">
                  <from>
                    <xdr:col>3</xdr:col>
                    <xdr:colOff>22860</xdr:colOff>
                    <xdr:row>26</xdr:row>
                    <xdr:rowOff>152400</xdr:rowOff>
                  </from>
                  <to>
                    <xdr:col>4</xdr:col>
                    <xdr:colOff>60960</xdr:colOff>
                    <xdr:row>28</xdr:row>
                    <xdr:rowOff>68580</xdr:rowOff>
                  </to>
                </anchor>
              </controlPr>
            </control>
          </mc:Choice>
        </mc:AlternateContent>
        <mc:AlternateContent xmlns:mc="http://schemas.openxmlformats.org/markup-compatibility/2006">
          <mc:Choice Requires="x14">
            <control shapeId="6151" r:id="rId11" name="Check Box 7">
              <controlPr locked="0" defaultSize="0" autoFill="0" autoLine="0" autoPict="0" altText="">
                <anchor moveWithCells="1">
                  <from>
                    <xdr:col>3</xdr:col>
                    <xdr:colOff>22860</xdr:colOff>
                    <xdr:row>32</xdr:row>
                    <xdr:rowOff>121920</xdr:rowOff>
                  </from>
                  <to>
                    <xdr:col>4</xdr:col>
                    <xdr:colOff>60960</xdr:colOff>
                    <xdr:row>34</xdr:row>
                    <xdr:rowOff>60960</xdr:rowOff>
                  </to>
                </anchor>
              </controlPr>
            </control>
          </mc:Choice>
        </mc:AlternateContent>
        <mc:AlternateContent xmlns:mc="http://schemas.openxmlformats.org/markup-compatibility/2006">
          <mc:Choice Requires="x14">
            <control shapeId="6153" r:id="rId12" name="Check Box 9">
              <controlPr locked="0" defaultSize="0" autoFill="0" autoLine="0" autoPict="0" altText="">
                <anchor moveWithCells="1">
                  <from>
                    <xdr:col>3</xdr:col>
                    <xdr:colOff>22860</xdr:colOff>
                    <xdr:row>34</xdr:row>
                    <xdr:rowOff>129540</xdr:rowOff>
                  </from>
                  <to>
                    <xdr:col>4</xdr:col>
                    <xdr:colOff>60960</xdr:colOff>
                    <xdr:row>36</xdr:row>
                    <xdr:rowOff>45720</xdr:rowOff>
                  </to>
                </anchor>
              </controlPr>
            </control>
          </mc:Choice>
        </mc:AlternateContent>
        <mc:AlternateContent xmlns:mc="http://schemas.openxmlformats.org/markup-compatibility/2006">
          <mc:Choice Requires="x14">
            <control shapeId="6154" r:id="rId13" name="Check Box 10">
              <controlPr locked="0" defaultSize="0" autoFill="0" autoLine="0" autoPict="0" altText="">
                <anchor moveWithCells="1">
                  <from>
                    <xdr:col>3</xdr:col>
                    <xdr:colOff>22860</xdr:colOff>
                    <xdr:row>36</xdr:row>
                    <xdr:rowOff>137160</xdr:rowOff>
                  </from>
                  <to>
                    <xdr:col>4</xdr:col>
                    <xdr:colOff>60960</xdr:colOff>
                    <xdr:row>38</xdr:row>
                    <xdr:rowOff>68580</xdr:rowOff>
                  </to>
                </anchor>
              </controlPr>
            </control>
          </mc:Choice>
        </mc:AlternateContent>
        <mc:AlternateContent xmlns:mc="http://schemas.openxmlformats.org/markup-compatibility/2006">
          <mc:Choice Requires="x14">
            <control shapeId="6155" r:id="rId14" name="Check Box 11">
              <controlPr locked="0" defaultSize="0" autoFill="0" autoLine="0" autoPict="0" altText="">
                <anchor moveWithCells="1">
                  <from>
                    <xdr:col>7</xdr:col>
                    <xdr:colOff>30480</xdr:colOff>
                    <xdr:row>46</xdr:row>
                    <xdr:rowOff>160020</xdr:rowOff>
                  </from>
                  <to>
                    <xdr:col>7</xdr:col>
                    <xdr:colOff>289560</xdr:colOff>
                    <xdr:row>46</xdr:row>
                    <xdr:rowOff>480060</xdr:rowOff>
                  </to>
                </anchor>
              </controlPr>
            </control>
          </mc:Choice>
        </mc:AlternateContent>
        <mc:AlternateContent xmlns:mc="http://schemas.openxmlformats.org/markup-compatibility/2006">
          <mc:Choice Requires="x14">
            <control shapeId="6156" r:id="rId15" name="Check Box 12">
              <controlPr locked="0" defaultSize="0" autoFill="0" autoLine="0" autoPict="0" altText="Ausleitungskraftwerk">
                <anchor moveWithCells="1">
                  <from>
                    <xdr:col>21</xdr:col>
                    <xdr:colOff>7620</xdr:colOff>
                    <xdr:row>46</xdr:row>
                    <xdr:rowOff>152400</xdr:rowOff>
                  </from>
                  <to>
                    <xdr:col>21</xdr:col>
                    <xdr:colOff>213360</xdr:colOff>
                    <xdr:row>46</xdr:row>
                    <xdr:rowOff>487680</xdr:rowOff>
                  </to>
                </anchor>
              </controlPr>
            </control>
          </mc:Choice>
        </mc:AlternateContent>
        <mc:AlternateContent xmlns:mc="http://schemas.openxmlformats.org/markup-compatibility/2006">
          <mc:Choice Requires="x14">
            <control shapeId="6157" r:id="rId16" name="Check Box 13">
              <controlPr locked="0" defaultSize="0" autoFill="0" autoLine="0" autoPict="0" altText="Ausleitungskraftwerk">
                <anchor moveWithCells="1">
                  <from>
                    <xdr:col>17</xdr:col>
                    <xdr:colOff>22860</xdr:colOff>
                    <xdr:row>46</xdr:row>
                    <xdr:rowOff>152400</xdr:rowOff>
                  </from>
                  <to>
                    <xdr:col>17</xdr:col>
                    <xdr:colOff>297180</xdr:colOff>
                    <xdr:row>46</xdr:row>
                    <xdr:rowOff>487680</xdr:rowOff>
                  </to>
                </anchor>
              </controlPr>
            </control>
          </mc:Choice>
        </mc:AlternateContent>
        <mc:AlternateContent xmlns:mc="http://schemas.openxmlformats.org/markup-compatibility/2006">
          <mc:Choice Requires="x14">
            <control shapeId="6158" r:id="rId17" name="Check Box 14">
              <controlPr locked="0" defaultSize="0" autoFill="0" autoLine="0" autoPict="0" altText="Ausleitungskraftwerk">
                <anchor moveWithCells="1">
                  <from>
                    <xdr:col>11</xdr:col>
                    <xdr:colOff>22860</xdr:colOff>
                    <xdr:row>46</xdr:row>
                    <xdr:rowOff>121920</xdr:rowOff>
                  </from>
                  <to>
                    <xdr:col>11</xdr:col>
                    <xdr:colOff>327660</xdr:colOff>
                    <xdr:row>46</xdr:row>
                    <xdr:rowOff>518160</xdr:rowOff>
                  </to>
                </anchor>
              </controlPr>
            </control>
          </mc:Choice>
        </mc:AlternateContent>
        <mc:AlternateContent xmlns:mc="http://schemas.openxmlformats.org/markup-compatibility/2006">
          <mc:Choice Requires="x14">
            <control shapeId="6162" r:id="rId18" name="Check Box 18">
              <controlPr locked="0" defaultSize="0" autoFill="0" autoLine="0" autoPict="0" altText="Ausleitungskraftwerk">
                <anchor moveWithCells="1">
                  <from>
                    <xdr:col>24</xdr:col>
                    <xdr:colOff>7620</xdr:colOff>
                    <xdr:row>46</xdr:row>
                    <xdr:rowOff>152400</xdr:rowOff>
                  </from>
                  <to>
                    <xdr:col>25</xdr:col>
                    <xdr:colOff>99060</xdr:colOff>
                    <xdr:row>46</xdr:row>
                    <xdr:rowOff>487680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1BC3-D6CE-4BDB-B682-CFE1EF2F1862}">
  <sheetPr codeName="Tabelle3">
    <tabColor rgb="FFFFC680"/>
  </sheetPr>
  <dimension ref="A1:W97"/>
  <sheetViews>
    <sheetView defaultGridColor="0" colorId="9" zoomScale="115" zoomScaleNormal="115" zoomScaleSheetLayoutView="115" zoomScalePageLayoutView="85" workbookViewId="0"/>
  </sheetViews>
  <sheetFormatPr baseColWidth="10" defaultColWidth="11.44140625" defaultRowHeight="13.2" x14ac:dyDescent="0.25"/>
  <cols>
    <col min="1" max="2" width="3.6640625" style="8" customWidth="1"/>
    <col min="3" max="4" width="3.5546875" style="8" customWidth="1"/>
    <col min="5" max="5" width="18.44140625" style="8" customWidth="1"/>
    <col min="6" max="6" width="34.109375" style="8" customWidth="1"/>
    <col min="7" max="7" width="12" style="8" customWidth="1"/>
    <col min="8" max="8" width="5.109375" style="8" customWidth="1"/>
    <col min="9" max="9" width="34.109375" style="16" customWidth="1"/>
    <col min="10" max="10" width="1.6640625" style="16" customWidth="1"/>
    <col min="11" max="11" width="34.109375" style="16" customWidth="1"/>
    <col min="12" max="12" width="1.6640625" style="16" customWidth="1"/>
    <col min="13" max="13" width="34.109375" style="16" customWidth="1"/>
    <col min="14" max="14" width="1.6640625" style="16" customWidth="1"/>
    <col min="15" max="15" width="34.109375" style="8" customWidth="1"/>
    <col min="16" max="16" width="1.6640625" style="5" customWidth="1"/>
    <col min="17" max="17" width="10.6640625" style="5" customWidth="1"/>
    <col min="18" max="18" width="74.5546875" style="5" hidden="1" customWidth="1"/>
    <col min="19" max="19" width="27.44140625" style="7" customWidth="1"/>
    <col min="20" max="20" width="27.44140625" style="8" customWidth="1"/>
    <col min="21" max="21" width="2.88671875" style="8" customWidth="1"/>
    <col min="22" max="22" width="27.44140625" style="8" customWidth="1"/>
    <col min="23" max="23" width="2.88671875" style="8" customWidth="1"/>
    <col min="24" max="24" width="27.44140625" style="8" customWidth="1"/>
    <col min="25" max="25" width="2.88671875" style="8" customWidth="1"/>
    <col min="26" max="26" width="22.88671875" style="8" customWidth="1"/>
    <col min="27" max="27" width="3.6640625" style="8" customWidth="1"/>
    <col min="28" max="28" width="13.33203125" style="8" customWidth="1"/>
    <col min="29" max="29" width="11.44140625" style="8" customWidth="1"/>
    <col min="30" max="16384" width="11.44140625" style="8"/>
  </cols>
  <sheetData>
    <row r="1" spans="1:16" ht="25.5" customHeight="1" x14ac:dyDescent="0.25">
      <c r="A1" s="44" t="s">
        <v>142</v>
      </c>
      <c r="B1" s="44"/>
    </row>
    <row r="2" spans="1:16" ht="15" customHeight="1" x14ac:dyDescent="0.25">
      <c r="A2" s="44"/>
      <c r="B2" s="44"/>
    </row>
    <row r="3" spans="1:16" ht="15" customHeight="1" x14ac:dyDescent="0.25">
      <c r="A3" s="238" t="s">
        <v>240</v>
      </c>
      <c r="B3" s="238"/>
      <c r="C3" s="238"/>
      <c r="D3" s="238"/>
    </row>
    <row r="4" spans="1:16" ht="15" customHeight="1" x14ac:dyDescent="0.25">
      <c r="A4" s="44"/>
      <c r="B4" s="44"/>
    </row>
    <row r="5" spans="1:16" ht="15" customHeight="1" x14ac:dyDescent="0.25">
      <c r="A5" s="270" t="s">
        <v>192</v>
      </c>
      <c r="B5" s="270"/>
      <c r="C5" s="270"/>
      <c r="D5" s="270"/>
      <c r="E5" s="270"/>
      <c r="F5" s="270"/>
      <c r="G5" s="270"/>
      <c r="H5" s="270"/>
      <c r="I5" s="270"/>
      <c r="J5" s="270"/>
      <c r="K5" s="270"/>
      <c r="L5" s="270"/>
      <c r="M5" s="270"/>
      <c r="N5" s="270"/>
      <c r="O5" s="270"/>
      <c r="P5" s="270"/>
    </row>
    <row r="6" spans="1:16" ht="15" customHeight="1" x14ac:dyDescent="0.25">
      <c r="A6" s="150"/>
      <c r="B6" s="44"/>
    </row>
    <row r="7" spans="1:16" ht="15" customHeight="1" x14ac:dyDescent="0.25"/>
    <row r="8" spans="1:16" ht="15" customHeight="1" thickBot="1" x14ac:dyDescent="0.3">
      <c r="C8" s="69"/>
      <c r="D8" s="69"/>
      <c r="E8" s="69"/>
      <c r="F8" s="69"/>
      <c r="G8" s="69"/>
      <c r="H8" s="69"/>
      <c r="I8" s="39"/>
      <c r="J8" s="39"/>
      <c r="K8" s="39"/>
      <c r="L8" s="39"/>
      <c r="M8" s="39"/>
      <c r="N8" s="39"/>
      <c r="O8" s="69"/>
      <c r="P8" s="28"/>
    </row>
    <row r="9" spans="1:16" ht="139.94999999999999" customHeight="1" thickBot="1" x14ac:dyDescent="0.2">
      <c r="C9" s="69"/>
      <c r="D9" s="272" t="s">
        <v>72</v>
      </c>
      <c r="E9" s="273"/>
      <c r="F9" s="205" t="s">
        <v>522</v>
      </c>
      <c r="G9" s="69"/>
      <c r="H9" s="69"/>
      <c r="I9" s="161" t="s">
        <v>74</v>
      </c>
      <c r="J9" s="162"/>
      <c r="K9" s="207" t="s">
        <v>514</v>
      </c>
      <c r="L9" s="84"/>
      <c r="M9" s="69"/>
      <c r="N9" s="271"/>
      <c r="O9" s="271"/>
      <c r="P9" s="28"/>
    </row>
    <row r="10" spans="1:16" ht="139.94999999999999" customHeight="1" thickBot="1" x14ac:dyDescent="0.2">
      <c r="C10" s="69"/>
      <c r="D10" s="272" t="s">
        <v>73</v>
      </c>
      <c r="E10" s="273"/>
      <c r="F10" s="205" t="s">
        <v>526</v>
      </c>
      <c r="G10" s="69"/>
      <c r="H10" s="69"/>
      <c r="I10" s="163" t="s">
        <v>525</v>
      </c>
      <c r="J10" s="164"/>
      <c r="K10" s="207" t="s">
        <v>529</v>
      </c>
      <c r="L10" s="84"/>
      <c r="M10" s="69"/>
      <c r="N10" s="39"/>
      <c r="O10" s="39"/>
      <c r="P10" s="28"/>
    </row>
    <row r="11" spans="1:16" ht="139.94999999999999" customHeight="1" thickBot="1" x14ac:dyDescent="0.3">
      <c r="C11" s="69"/>
      <c r="D11" s="272" t="s">
        <v>523</v>
      </c>
      <c r="E11" s="273"/>
      <c r="F11" s="205" t="s">
        <v>527</v>
      </c>
      <c r="G11" s="69"/>
      <c r="H11" s="69"/>
      <c r="I11" s="161" t="s">
        <v>265</v>
      </c>
      <c r="J11" s="164"/>
      <c r="K11" s="207" t="s">
        <v>530</v>
      </c>
      <c r="L11" s="84"/>
      <c r="M11" s="85"/>
      <c r="N11" s="39"/>
      <c r="O11" s="69"/>
      <c r="P11" s="28"/>
    </row>
    <row r="12" spans="1:16" ht="139.94999999999999" customHeight="1" thickBot="1" x14ac:dyDescent="0.2">
      <c r="C12" s="69"/>
      <c r="D12" s="272" t="s">
        <v>524</v>
      </c>
      <c r="E12" s="273"/>
      <c r="F12" s="206" t="s">
        <v>528</v>
      </c>
      <c r="G12" s="69"/>
      <c r="H12" s="69"/>
      <c r="I12" s="276" t="s">
        <v>75</v>
      </c>
      <c r="J12" s="277"/>
      <c r="K12" s="207" t="s">
        <v>531</v>
      </c>
      <c r="L12" s="84"/>
      <c r="M12" s="69"/>
      <c r="N12" s="39"/>
      <c r="O12" s="69"/>
      <c r="P12" s="28"/>
    </row>
    <row r="13" spans="1:16" ht="15" customHeight="1" x14ac:dyDescent="0.25">
      <c r="C13" s="69"/>
      <c r="D13" s="69"/>
      <c r="E13" s="69"/>
      <c r="F13" s="69"/>
      <c r="G13" s="69"/>
      <c r="H13" s="69"/>
      <c r="I13" s="69"/>
      <c r="J13" s="69"/>
      <c r="K13" s="69"/>
      <c r="L13" s="69"/>
      <c r="M13" s="69"/>
      <c r="N13" s="39"/>
      <c r="O13" s="69"/>
      <c r="P13" s="28"/>
    </row>
    <row r="14" spans="1:16" ht="15" customHeight="1" x14ac:dyDescent="0.25">
      <c r="C14" s="69"/>
      <c r="D14" s="69"/>
      <c r="E14" s="69"/>
      <c r="F14" s="69"/>
      <c r="G14" s="69"/>
      <c r="H14" s="69"/>
      <c r="I14" s="69"/>
      <c r="J14" s="69"/>
      <c r="K14" s="69"/>
      <c r="L14" s="69"/>
      <c r="M14" s="69"/>
      <c r="N14" s="39"/>
      <c r="O14" s="69"/>
      <c r="P14" s="28"/>
    </row>
    <row r="15" spans="1:16" ht="15" customHeight="1" x14ac:dyDescent="0.25">
      <c r="C15" s="69"/>
      <c r="D15" s="69"/>
      <c r="E15" s="69"/>
      <c r="F15" s="69"/>
      <c r="G15" s="69"/>
      <c r="H15" s="69"/>
      <c r="I15" s="69"/>
      <c r="J15" s="69"/>
      <c r="K15" s="69"/>
      <c r="L15" s="69"/>
      <c r="M15" s="69"/>
      <c r="N15" s="39"/>
      <c r="O15" s="69"/>
      <c r="P15" s="28"/>
    </row>
    <row r="16" spans="1:16" ht="15" customHeight="1" x14ac:dyDescent="0.25">
      <c r="C16" s="69"/>
      <c r="D16" s="72" t="s">
        <v>256</v>
      </c>
      <c r="E16" s="69"/>
      <c r="F16" s="69"/>
      <c r="G16" s="69"/>
      <c r="H16" s="69"/>
      <c r="I16" s="69"/>
      <c r="J16" s="69"/>
      <c r="K16" s="69"/>
      <c r="L16" s="69"/>
      <c r="M16" s="69"/>
      <c r="N16" s="39"/>
      <c r="O16" s="69"/>
      <c r="P16" s="28"/>
    </row>
    <row r="17" spans="1:18" ht="284.25" customHeight="1" x14ac:dyDescent="0.25">
      <c r="C17" s="69"/>
      <c r="D17" s="274"/>
      <c r="E17" s="274"/>
      <c r="F17" s="28"/>
      <c r="G17" s="69"/>
      <c r="H17" s="69"/>
      <c r="I17" s="39"/>
      <c r="J17" s="39"/>
      <c r="K17" s="39"/>
      <c r="L17" s="39"/>
      <c r="M17" s="39"/>
      <c r="N17" s="39"/>
      <c r="O17" s="69"/>
      <c r="P17" s="28"/>
    </row>
    <row r="18" spans="1:18" ht="15" customHeight="1" x14ac:dyDescent="0.25">
      <c r="C18" s="69"/>
      <c r="D18" s="69"/>
      <c r="E18" s="70"/>
      <c r="F18" s="69"/>
      <c r="G18" s="69"/>
      <c r="H18" s="69"/>
      <c r="I18" s="39"/>
      <c r="J18" s="39"/>
      <c r="K18" s="39"/>
      <c r="L18" s="39"/>
      <c r="M18" s="39"/>
      <c r="N18" s="39"/>
      <c r="O18" s="69"/>
      <c r="P18" s="28"/>
    </row>
    <row r="19" spans="1:18" ht="15" customHeight="1" x14ac:dyDescent="0.25">
      <c r="E19" s="68"/>
    </row>
    <row r="20" spans="1:18" ht="15" customHeight="1" x14ac:dyDescent="0.25">
      <c r="E20" s="68"/>
    </row>
    <row r="21" spans="1:18" ht="15" customHeight="1" x14ac:dyDescent="0.25">
      <c r="E21" s="68"/>
    </row>
    <row r="22" spans="1:18" ht="15" customHeight="1" x14ac:dyDescent="0.25">
      <c r="A22" s="270" t="s">
        <v>193</v>
      </c>
      <c r="B22" s="270"/>
      <c r="C22" s="270"/>
      <c r="D22" s="270"/>
      <c r="E22" s="270"/>
      <c r="F22" s="270"/>
      <c r="G22" s="270"/>
      <c r="H22" s="270"/>
      <c r="I22" s="270"/>
      <c r="J22" s="270"/>
      <c r="K22" s="270"/>
      <c r="L22" s="270"/>
      <c r="M22" s="270"/>
      <c r="N22" s="270"/>
      <c r="O22" s="270"/>
      <c r="P22" s="270"/>
    </row>
    <row r="23" spans="1:18" ht="15" customHeight="1" x14ac:dyDescent="0.25">
      <c r="E23" s="68"/>
    </row>
    <row r="24" spans="1:18" ht="15" customHeight="1" x14ac:dyDescent="0.25">
      <c r="B24" s="275" t="s">
        <v>238</v>
      </c>
      <c r="C24" s="275"/>
      <c r="D24" s="275"/>
      <c r="E24" s="275"/>
      <c r="F24" s="275"/>
      <c r="G24" s="275"/>
      <c r="H24" s="275"/>
      <c r="I24" s="275"/>
      <c r="J24" s="275"/>
      <c r="K24" s="275"/>
      <c r="L24" s="275"/>
      <c r="M24" s="275"/>
      <c r="N24" s="275"/>
      <c r="O24" s="275"/>
      <c r="P24" s="275"/>
    </row>
    <row r="25" spans="1:18" ht="15" customHeight="1" x14ac:dyDescent="0.25">
      <c r="E25" s="68"/>
    </row>
    <row r="26" spans="1:18" ht="15" customHeight="1" x14ac:dyDescent="0.25">
      <c r="C26" s="269" t="s">
        <v>199</v>
      </c>
      <c r="D26" s="269"/>
      <c r="E26" s="269"/>
      <c r="F26" s="269"/>
      <c r="G26" s="269"/>
      <c r="H26" s="69"/>
      <c r="I26" s="39"/>
      <c r="J26" s="39"/>
      <c r="K26" s="39"/>
      <c r="L26" s="39"/>
      <c r="M26" s="39"/>
      <c r="N26" s="39"/>
      <c r="O26" s="39"/>
      <c r="P26" s="39"/>
      <c r="R26" s="114"/>
    </row>
    <row r="27" spans="1:18" ht="15" customHeight="1" x14ac:dyDescent="0.25">
      <c r="C27" s="69"/>
      <c r="D27" s="151"/>
      <c r="E27" s="151"/>
      <c r="F27" s="151"/>
      <c r="G27" s="69"/>
      <c r="H27" s="69"/>
      <c r="I27" s="110"/>
      <c r="J27" s="110"/>
      <c r="K27" s="110"/>
      <c r="L27" s="110"/>
      <c r="M27" s="110"/>
      <c r="N27" s="110"/>
      <c r="O27" s="110"/>
      <c r="P27" s="110"/>
      <c r="Q27" s="106"/>
      <c r="R27" s="137"/>
    </row>
    <row r="28" spans="1:18" ht="15" customHeight="1" x14ac:dyDescent="0.25">
      <c r="C28" s="69"/>
      <c r="D28" s="69"/>
      <c r="E28" s="265" t="s">
        <v>197</v>
      </c>
      <c r="F28" s="265"/>
      <c r="G28" s="28"/>
      <c r="H28" s="109"/>
      <c r="I28" s="197" t="s">
        <v>53</v>
      </c>
      <c r="J28" s="210"/>
      <c r="K28" s="197" t="s">
        <v>54</v>
      </c>
      <c r="L28" s="210"/>
      <c r="M28" s="197"/>
      <c r="N28" s="17"/>
      <c r="O28" s="197"/>
      <c r="P28" s="17"/>
      <c r="Q28" s="105"/>
      <c r="R28" s="138"/>
    </row>
    <row r="29" spans="1:18" ht="30" customHeight="1" x14ac:dyDescent="0.25">
      <c r="C29" s="69"/>
      <c r="D29" s="69"/>
      <c r="E29" s="265" t="s">
        <v>229</v>
      </c>
      <c r="F29" s="265"/>
      <c r="G29" s="28"/>
      <c r="H29" s="28"/>
      <c r="I29" s="99" t="s">
        <v>195</v>
      </c>
      <c r="J29" s="211"/>
      <c r="K29" s="99" t="s">
        <v>196</v>
      </c>
      <c r="L29" s="211"/>
      <c r="M29" s="99"/>
      <c r="N29" s="39"/>
      <c r="O29" s="99"/>
      <c r="P29" s="39"/>
      <c r="R29" s="114"/>
    </row>
    <row r="30" spans="1:18" ht="15" customHeight="1" x14ac:dyDescent="0.25">
      <c r="C30" s="69"/>
      <c r="D30" s="69"/>
      <c r="E30" s="70"/>
      <c r="F30" s="69"/>
      <c r="G30" s="69"/>
      <c r="H30" s="69"/>
      <c r="I30" s="39"/>
      <c r="J30" s="39"/>
      <c r="K30" s="39"/>
      <c r="L30" s="39"/>
      <c r="M30" s="39"/>
      <c r="N30" s="39"/>
      <c r="O30" s="39"/>
      <c r="P30" s="39"/>
    </row>
    <row r="31" spans="1:18" ht="15" customHeight="1" x14ac:dyDescent="0.25">
      <c r="E31" s="68"/>
    </row>
    <row r="32" spans="1:18" ht="15" customHeight="1" x14ac:dyDescent="0.25">
      <c r="E32" s="68"/>
    </row>
    <row r="33" spans="1:23" ht="15" customHeight="1" x14ac:dyDescent="0.25"/>
    <row r="34" spans="1:23" s="5" customFormat="1" ht="15" customHeight="1" x14ac:dyDescent="0.25">
      <c r="A34" s="270" t="s">
        <v>55</v>
      </c>
      <c r="B34" s="270"/>
      <c r="C34" s="270"/>
      <c r="D34" s="270"/>
      <c r="E34" s="270"/>
      <c r="F34" s="270"/>
      <c r="G34" s="270"/>
      <c r="H34" s="270"/>
      <c r="I34" s="270"/>
      <c r="J34" s="270"/>
      <c r="K34" s="270"/>
      <c r="L34" s="270"/>
      <c r="M34" s="270"/>
      <c r="N34" s="270"/>
      <c r="O34" s="270"/>
      <c r="P34" s="270"/>
      <c r="S34" s="4"/>
      <c r="T34" s="4"/>
      <c r="U34" s="4"/>
      <c r="V34" s="4"/>
      <c r="W34" s="4"/>
    </row>
    <row r="35" spans="1:23" s="5" customFormat="1" ht="15" customHeight="1" x14ac:dyDescent="0.25">
      <c r="C35" s="10"/>
      <c r="D35" s="10"/>
      <c r="E35" s="10"/>
      <c r="F35" s="10"/>
      <c r="I35" s="1"/>
      <c r="J35" s="1"/>
      <c r="K35" s="1"/>
      <c r="L35" s="1"/>
      <c r="M35" s="1"/>
      <c r="N35" s="1"/>
      <c r="S35" s="4"/>
      <c r="T35" s="4"/>
      <c r="U35" s="4"/>
      <c r="V35" s="4"/>
      <c r="W35" s="4"/>
    </row>
    <row r="36" spans="1:23" s="5" customFormat="1" ht="15" customHeight="1" x14ac:dyDescent="0.25">
      <c r="B36" s="279" t="s">
        <v>237</v>
      </c>
      <c r="C36" s="279"/>
      <c r="D36" s="279"/>
      <c r="E36" s="279"/>
      <c r="F36" s="279"/>
      <c r="G36" s="279"/>
      <c r="H36" s="279"/>
      <c r="I36" s="279"/>
      <c r="J36" s="279"/>
      <c r="K36" s="279"/>
      <c r="L36" s="279"/>
      <c r="M36" s="279"/>
      <c r="N36" s="279"/>
      <c r="O36" s="279"/>
      <c r="P36" s="279"/>
      <c r="S36" s="4"/>
      <c r="T36" s="4"/>
      <c r="U36" s="4"/>
      <c r="V36" s="4"/>
      <c r="W36" s="4"/>
    </row>
    <row r="37" spans="1:23" s="5" customFormat="1" ht="15" customHeight="1" x14ac:dyDescent="0.25">
      <c r="C37" s="10"/>
      <c r="D37" s="10"/>
      <c r="E37" s="10"/>
      <c r="F37" s="10"/>
      <c r="I37" s="1"/>
      <c r="J37" s="1"/>
      <c r="K37" s="1"/>
      <c r="L37" s="1"/>
      <c r="M37" s="1"/>
      <c r="N37" s="1"/>
      <c r="S37" s="4"/>
      <c r="T37" s="4"/>
      <c r="U37" s="4"/>
      <c r="V37" s="4"/>
      <c r="W37" s="4"/>
    </row>
    <row r="38" spans="1:23" s="5" customFormat="1" ht="15" customHeight="1" x14ac:dyDescent="0.25">
      <c r="I38" s="1"/>
      <c r="J38" s="1"/>
      <c r="K38" s="1"/>
      <c r="L38" s="1"/>
      <c r="M38" s="1"/>
      <c r="N38" s="1"/>
      <c r="S38" s="7"/>
    </row>
    <row r="39" spans="1:23" s="5" customFormat="1" ht="15" customHeight="1" x14ac:dyDescent="0.25">
      <c r="C39" s="266" t="s">
        <v>139</v>
      </c>
      <c r="D39" s="266"/>
      <c r="E39" s="266"/>
      <c r="F39" s="266"/>
      <c r="G39" s="266"/>
      <c r="H39" s="28"/>
      <c r="I39" s="18"/>
      <c r="J39" s="18"/>
      <c r="K39" s="18"/>
      <c r="L39" s="18"/>
      <c r="M39" s="18"/>
      <c r="N39" s="18"/>
      <c r="O39" s="18"/>
      <c r="P39" s="18"/>
      <c r="Q39" s="6"/>
      <c r="S39" s="7"/>
    </row>
    <row r="40" spans="1:23" s="5" customFormat="1" ht="15" customHeight="1" x14ac:dyDescent="0.25">
      <c r="C40" s="28"/>
      <c r="D40" s="263" t="s">
        <v>140</v>
      </c>
      <c r="E40" s="263"/>
      <c r="F40" s="263"/>
      <c r="G40" s="263"/>
      <c r="H40" s="28"/>
      <c r="I40" s="18"/>
      <c r="J40" s="18"/>
      <c r="K40" s="55"/>
      <c r="L40" s="18"/>
      <c r="M40" s="18"/>
      <c r="N40" s="18"/>
      <c r="O40" s="18"/>
      <c r="P40" s="18"/>
      <c r="S40" s="7"/>
    </row>
    <row r="41" spans="1:23" s="5" customFormat="1" ht="15" customHeight="1" x14ac:dyDescent="0.25">
      <c r="C41" s="28"/>
      <c r="D41" s="263"/>
      <c r="E41" s="263"/>
      <c r="F41" s="263"/>
      <c r="G41" s="263"/>
      <c r="H41" s="28"/>
      <c r="I41" s="131" t="str">
        <f>IF(ISBLANK($I$28),"",$I$28)</f>
        <v>K1</v>
      </c>
      <c r="J41" s="17"/>
      <c r="K41" s="131" t="str">
        <f>IF(ISBLANK($K$28),"",$K$28)</f>
        <v>K2</v>
      </c>
      <c r="L41" s="17"/>
      <c r="M41" s="131" t="str">
        <f>IF(ISBLANK($M$28),"",$M$28)</f>
        <v/>
      </c>
      <c r="N41" s="17"/>
      <c r="O41" s="131" t="str">
        <f>IF(ISBLANK($O$28),"",$O$28)</f>
        <v/>
      </c>
      <c r="P41" s="17"/>
      <c r="S41" s="7"/>
    </row>
    <row r="42" spans="1:23" s="5" customFormat="1" ht="15" customHeight="1" x14ac:dyDescent="0.25">
      <c r="C42" s="28"/>
      <c r="D42" s="180"/>
      <c r="E42" s="180"/>
      <c r="F42" s="180"/>
      <c r="G42" s="180"/>
      <c r="H42" s="28"/>
      <c r="I42" s="201" t="s">
        <v>66</v>
      </c>
      <c r="J42" s="17"/>
      <c r="K42" s="201" t="s">
        <v>66</v>
      </c>
      <c r="L42" s="17"/>
      <c r="M42" s="201" t="s">
        <v>66</v>
      </c>
      <c r="N42" s="17"/>
      <c r="O42" s="201" t="s">
        <v>66</v>
      </c>
      <c r="P42" s="17"/>
      <c r="S42" s="7"/>
    </row>
    <row r="43" spans="1:23" s="5" customFormat="1" ht="15" customHeight="1" x14ac:dyDescent="0.25">
      <c r="C43" s="28"/>
      <c r="D43" s="264"/>
      <c r="E43" s="265" t="str">
        <f>IF(COUNTIF('(1) Grundlagen'!$C$13,TRUE)&lt;1,"Nicht vorhanden","nein")</f>
        <v>nein</v>
      </c>
      <c r="F43" s="265"/>
      <c r="G43" s="28"/>
      <c r="H43" s="28"/>
      <c r="I43" s="261" t="s">
        <v>178</v>
      </c>
      <c r="J43" s="20"/>
      <c r="K43" s="261" t="s">
        <v>178</v>
      </c>
      <c r="L43" s="20"/>
      <c r="M43" s="261"/>
      <c r="N43" s="17"/>
      <c r="O43" s="261"/>
      <c r="P43" s="17"/>
      <c r="R43" s="267" t="s">
        <v>133</v>
      </c>
      <c r="S43" s="7"/>
    </row>
    <row r="44" spans="1:23" s="5" customFormat="1" ht="15" customHeight="1" x14ac:dyDescent="0.25">
      <c r="C44" s="28"/>
      <c r="D44" s="264"/>
      <c r="E44" s="265"/>
      <c r="F44" s="265"/>
      <c r="G44" s="28"/>
      <c r="H44" s="28"/>
      <c r="I44" s="262"/>
      <c r="J44" s="20"/>
      <c r="K44" s="262"/>
      <c r="L44" s="20"/>
      <c r="M44" s="262"/>
      <c r="N44" s="18"/>
      <c r="O44" s="262"/>
      <c r="P44" s="18"/>
      <c r="Q44" s="12"/>
      <c r="R44" s="268"/>
      <c r="S44" s="7"/>
    </row>
    <row r="45" spans="1:23" s="5" customFormat="1" ht="30" customHeight="1" x14ac:dyDescent="0.25">
      <c r="C45" s="28"/>
      <c r="D45" s="32"/>
      <c r="E45" s="265" t="str">
        <f>IF(COUNTIF('(1) Grundlagen'!$C$13,TRUE)&lt;1,"","ja")</f>
        <v>ja</v>
      </c>
      <c r="F45" s="265"/>
      <c r="G45" s="28"/>
      <c r="H45" s="28"/>
      <c r="I45" s="99"/>
      <c r="J45" s="20"/>
      <c r="K45" s="99"/>
      <c r="L45" s="20"/>
      <c r="M45" s="99"/>
      <c r="N45" s="18"/>
      <c r="O45" s="99"/>
      <c r="P45" s="18"/>
      <c r="R45" s="78" t="s">
        <v>143</v>
      </c>
      <c r="S45" s="7"/>
    </row>
    <row r="46" spans="1:23" s="5" customFormat="1" ht="54" customHeight="1" x14ac:dyDescent="0.25">
      <c r="C46" s="28"/>
      <c r="D46" s="28"/>
      <c r="E46" s="28"/>
      <c r="F46" s="28"/>
      <c r="G46" s="28"/>
      <c r="H46" s="28"/>
      <c r="I46" s="25" t="str">
        <f>IF(COUNTIF(I43:I45,"x")&lt;&gt;1,"FEHLER",IF(I43="x",$R$43,$R$45))</f>
        <v>Grundsätzlich sind alle Bautypen möglich.</v>
      </c>
      <c r="J46" s="18"/>
      <c r="K46" s="25" t="str">
        <f>IF(COUNTIF(K43:K45,"x")&lt;&gt;1,"FEHLER",IF(K43="x",$R$43,$R$45))</f>
        <v>Grundsätzlich sind alle Bautypen möglich.</v>
      </c>
      <c r="L46" s="18"/>
      <c r="M46" s="25" t="str">
        <f>IF(COUNTIF(M43:M45,"x")&lt;&gt;1,"FEHLER",IF(M43="x",$R$43,$R$45))</f>
        <v>FEHLER</v>
      </c>
      <c r="N46" s="18"/>
      <c r="O46" s="25" t="str">
        <f>IF(COUNTIF(O43:O45,"x")&lt;&gt;1,"FEHLER",IF(O43="x",$R$43,$R$45))</f>
        <v>FEHLER</v>
      </c>
      <c r="P46" s="18"/>
      <c r="S46" s="7"/>
    </row>
    <row r="47" spans="1:23" s="5" customFormat="1" ht="15" customHeight="1" x14ac:dyDescent="0.25">
      <c r="I47" s="3"/>
      <c r="J47" s="1"/>
      <c r="K47" s="3"/>
      <c r="L47" s="1"/>
      <c r="M47" s="3"/>
      <c r="N47" s="1"/>
      <c r="S47" s="7"/>
    </row>
    <row r="48" spans="1:23" s="5" customFormat="1" ht="15" customHeight="1" x14ac:dyDescent="0.25">
      <c r="I48" s="3"/>
      <c r="J48" s="1"/>
      <c r="K48" s="3"/>
      <c r="L48" s="1"/>
      <c r="M48" s="3"/>
      <c r="N48" s="1"/>
      <c r="S48" s="7"/>
    </row>
    <row r="49" spans="3:19" s="5" customFormat="1" ht="15" customHeight="1" x14ac:dyDescent="0.25">
      <c r="C49" s="266" t="s">
        <v>338</v>
      </c>
      <c r="D49" s="266"/>
      <c r="E49" s="266"/>
      <c r="F49" s="266"/>
      <c r="G49" s="266"/>
      <c r="H49" s="28"/>
      <c r="I49" s="18"/>
      <c r="J49" s="18"/>
      <c r="K49" s="18"/>
      <c r="L49" s="18"/>
      <c r="M49" s="18"/>
      <c r="N49" s="18"/>
      <c r="O49" s="18"/>
      <c r="P49" s="18"/>
      <c r="S49" s="7"/>
    </row>
    <row r="50" spans="3:19" s="5" customFormat="1" ht="15" customHeight="1" x14ac:dyDescent="0.25">
      <c r="C50" s="28"/>
      <c r="D50" s="263" t="s">
        <v>138</v>
      </c>
      <c r="E50" s="263"/>
      <c r="F50" s="263"/>
      <c r="G50" s="263"/>
      <c r="H50" s="28"/>
      <c r="I50" s="18"/>
      <c r="J50" s="18"/>
      <c r="K50" s="55"/>
      <c r="L50" s="18"/>
      <c r="M50" s="18"/>
      <c r="N50" s="18"/>
      <c r="O50" s="18"/>
      <c r="P50" s="18"/>
      <c r="S50" s="7"/>
    </row>
    <row r="51" spans="3:19" s="5" customFormat="1" ht="15" customHeight="1" x14ac:dyDescent="0.25">
      <c r="C51" s="28"/>
      <c r="D51" s="263"/>
      <c r="E51" s="263"/>
      <c r="F51" s="263"/>
      <c r="G51" s="263"/>
      <c r="H51" s="28"/>
      <c r="I51" s="131" t="str">
        <f>IF(ISBLANK($I$28),"",$I$28)</f>
        <v>K1</v>
      </c>
      <c r="J51" s="17"/>
      <c r="K51" s="131" t="str">
        <f>IF(ISBLANK($K$28),"",$K$28)</f>
        <v>K2</v>
      </c>
      <c r="L51" s="17"/>
      <c r="M51" s="131" t="str">
        <f>IF(ISBLANK($M$28),"",$M$28)</f>
        <v/>
      </c>
      <c r="N51" s="17"/>
      <c r="O51" s="131" t="str">
        <f>IF(ISBLANK($O$28),"",$O$28)</f>
        <v/>
      </c>
      <c r="P51" s="17"/>
      <c r="S51" s="7"/>
    </row>
    <row r="52" spans="3:19" s="5" customFormat="1" ht="15" customHeight="1" x14ac:dyDescent="0.25">
      <c r="C52" s="28"/>
      <c r="D52" s="180"/>
      <c r="E52" s="180"/>
      <c r="F52" s="180"/>
      <c r="G52" s="180"/>
      <c r="H52" s="28"/>
      <c r="I52" s="201" t="s">
        <v>66</v>
      </c>
      <c r="J52" s="17"/>
      <c r="K52" s="201" t="s">
        <v>66</v>
      </c>
      <c r="L52" s="17"/>
      <c r="M52" s="201" t="s">
        <v>66</v>
      </c>
      <c r="N52" s="17"/>
      <c r="O52" s="201" t="s">
        <v>66</v>
      </c>
      <c r="P52" s="17"/>
      <c r="S52" s="7"/>
    </row>
    <row r="53" spans="3:19" s="5" customFormat="1" ht="15" customHeight="1" x14ac:dyDescent="0.25">
      <c r="C53" s="28"/>
      <c r="D53" s="264"/>
      <c r="E53" s="265" t="str">
        <f>IF(COUNTIF('(1) Grundlagen'!$C$34,TRUE)&lt;1,"Nicht vorhanden","&lt; 30 m2")</f>
        <v>&lt; 30 m2</v>
      </c>
      <c r="F53" s="265"/>
      <c r="G53" s="28"/>
      <c r="H53" s="28"/>
      <c r="I53" s="261" t="s">
        <v>178</v>
      </c>
      <c r="J53" s="17"/>
      <c r="K53" s="261"/>
      <c r="L53" s="17"/>
      <c r="M53" s="261"/>
      <c r="N53" s="17"/>
      <c r="O53" s="261"/>
      <c r="P53" s="17"/>
      <c r="R53" s="267" t="s">
        <v>340</v>
      </c>
      <c r="S53" s="7"/>
    </row>
    <row r="54" spans="3:19" s="5" customFormat="1" ht="15" customHeight="1" x14ac:dyDescent="0.25">
      <c r="C54" s="28"/>
      <c r="D54" s="264"/>
      <c r="E54" s="265"/>
      <c r="F54" s="265"/>
      <c r="G54" s="28"/>
      <c r="H54" s="28"/>
      <c r="I54" s="262"/>
      <c r="J54" s="18"/>
      <c r="K54" s="262"/>
      <c r="L54" s="18"/>
      <c r="M54" s="262"/>
      <c r="N54" s="18"/>
      <c r="O54" s="262"/>
      <c r="P54" s="18"/>
      <c r="R54" s="268"/>
      <c r="S54" s="7"/>
    </row>
    <row r="55" spans="3:19" s="5" customFormat="1" ht="30" customHeight="1" x14ac:dyDescent="0.25">
      <c r="C55" s="28"/>
      <c r="D55" s="32"/>
      <c r="E55" s="265" t="str">
        <f>IF(COUNTIF('(1) Grundlagen'!$C$34,TRUE)&lt;1,"","&gt; 30 m2")</f>
        <v>&gt; 30 m2</v>
      </c>
      <c r="F55" s="265"/>
      <c r="G55" s="28"/>
      <c r="H55" s="28"/>
      <c r="I55" s="99"/>
      <c r="J55" s="18"/>
      <c r="K55" s="99" t="s">
        <v>178</v>
      </c>
      <c r="L55" s="18"/>
      <c r="M55" s="200"/>
      <c r="N55" s="18"/>
      <c r="O55" s="200"/>
      <c r="P55" s="18"/>
      <c r="R55" s="78" t="s">
        <v>339</v>
      </c>
      <c r="S55" s="7"/>
    </row>
    <row r="56" spans="3:19" s="5" customFormat="1" ht="128.4" customHeight="1" x14ac:dyDescent="0.25">
      <c r="C56" s="28"/>
      <c r="D56" s="28"/>
      <c r="E56" s="28"/>
      <c r="F56" s="28"/>
      <c r="G56" s="28"/>
      <c r="H56" s="28"/>
      <c r="I56" s="25" t="str">
        <f>IF(COUNTIF(I53:I55,"x")&lt;&gt;1,"FEHLER",IF(I53="x",$R$53,$R$55))</f>
        <v>Grundsätzlich sind alle Bautypen möglich. Eine Rodungsbewilligung ist nicht nötig.</v>
      </c>
      <c r="J56" s="18"/>
      <c r="K56" s="25" t="str">
        <f>IF(COUNTIF(K53:K55,"x")&lt;&gt;1,"FEHLER",IF(K53="x",$R$53,$R$55))</f>
        <v>Eine Rodungsbewilligung ist nötig. Ihre Erteilung beruht auf einer Interessenabwägung.
Die vom Bau einer FAH betroffene Waldfläche, die ihre Waldfunktion dauerhaft verliert, ist zu minimieren. Naturnahe Bauweisen sind zu priorisieren.</v>
      </c>
      <c r="L56" s="18"/>
      <c r="M56" s="25" t="str">
        <f>IF(COUNTIF(M53:M55,"x")&lt;&gt;1,"FEHLER",IF(M53="x",$R$53,$R$55))</f>
        <v>FEHLER</v>
      </c>
      <c r="N56" s="18"/>
      <c r="O56" s="25" t="str">
        <f>IF(COUNTIF(O53:O55,"x")&lt;&gt;1,"FEHLER",IF(O53="x",$R$53,IF(#REF!="x",#REF!,$R$55)))</f>
        <v>FEHLER</v>
      </c>
      <c r="P56" s="18"/>
      <c r="S56" s="7"/>
    </row>
    <row r="57" spans="3:19" s="5" customFormat="1" ht="15" customHeight="1" x14ac:dyDescent="0.25">
      <c r="E57" s="280"/>
      <c r="F57" s="280"/>
      <c r="G57" s="6"/>
      <c r="H57" s="6"/>
      <c r="I57" s="1"/>
      <c r="J57" s="1"/>
      <c r="K57" s="1"/>
      <c r="L57" s="1"/>
      <c r="M57" s="1"/>
      <c r="N57" s="1"/>
      <c r="O57" s="1"/>
      <c r="P57" s="1"/>
      <c r="S57" s="7"/>
    </row>
    <row r="58" spans="3:19" s="5" customFormat="1" ht="15" customHeight="1" x14ac:dyDescent="0.25">
      <c r="E58" s="3"/>
      <c r="F58" s="3"/>
      <c r="G58" s="6"/>
      <c r="H58" s="6"/>
      <c r="I58" s="1"/>
      <c r="J58" s="1"/>
      <c r="K58" s="1"/>
      <c r="L58" s="1"/>
      <c r="M58" s="1"/>
      <c r="N58" s="1"/>
      <c r="O58" s="1"/>
      <c r="P58" s="1"/>
      <c r="S58" s="7"/>
    </row>
    <row r="59" spans="3:19" s="5" customFormat="1" ht="15" customHeight="1" x14ac:dyDescent="0.25">
      <c r="C59" s="266" t="s">
        <v>136</v>
      </c>
      <c r="D59" s="266"/>
      <c r="E59" s="266"/>
      <c r="F59" s="266"/>
      <c r="G59" s="266"/>
      <c r="H59" s="28"/>
      <c r="I59" s="18"/>
      <c r="J59" s="18"/>
      <c r="K59" s="18"/>
      <c r="L59" s="18"/>
      <c r="M59" s="18"/>
      <c r="N59" s="18"/>
      <c r="O59" s="18"/>
      <c r="P59" s="18"/>
      <c r="S59" s="7"/>
    </row>
    <row r="60" spans="3:19" s="5" customFormat="1" ht="15" customHeight="1" x14ac:dyDescent="0.25">
      <c r="C60" s="28"/>
      <c r="D60" s="263" t="s">
        <v>137</v>
      </c>
      <c r="E60" s="263"/>
      <c r="F60" s="263"/>
      <c r="G60" s="263"/>
      <c r="H60" s="28"/>
      <c r="I60" s="18"/>
      <c r="J60" s="18"/>
      <c r="K60" s="55"/>
      <c r="L60" s="18"/>
      <c r="M60" s="18"/>
      <c r="N60" s="18"/>
      <c r="O60" s="18"/>
      <c r="P60" s="18"/>
      <c r="S60" s="7"/>
    </row>
    <row r="61" spans="3:19" s="5" customFormat="1" ht="15" customHeight="1" x14ac:dyDescent="0.25">
      <c r="C61" s="28"/>
      <c r="D61" s="263"/>
      <c r="E61" s="263"/>
      <c r="F61" s="263"/>
      <c r="G61" s="263"/>
      <c r="H61" s="28"/>
      <c r="I61" s="131" t="str">
        <f>IF(ISBLANK($I$28),"",$I$28)</f>
        <v>K1</v>
      </c>
      <c r="J61" s="17"/>
      <c r="K61" s="131" t="str">
        <f>IF(ISBLANK($K$28),"",$K$28)</f>
        <v>K2</v>
      </c>
      <c r="L61" s="17"/>
      <c r="M61" s="131" t="str">
        <f>IF(ISBLANK($M$28),"",$M$28)</f>
        <v/>
      </c>
      <c r="N61" s="17"/>
      <c r="O61" s="131" t="str">
        <f>IF(ISBLANK($O$28),"",$O$28)</f>
        <v/>
      </c>
      <c r="P61" s="17"/>
      <c r="S61" s="7"/>
    </row>
    <row r="62" spans="3:19" s="5" customFormat="1" ht="15" customHeight="1" x14ac:dyDescent="0.25">
      <c r="C62" s="28"/>
      <c r="D62" s="180"/>
      <c r="E62" s="180"/>
      <c r="F62" s="180"/>
      <c r="G62" s="180"/>
      <c r="H62" s="28"/>
      <c r="I62" s="201" t="s">
        <v>66</v>
      </c>
      <c r="J62" s="17"/>
      <c r="K62" s="201" t="s">
        <v>66</v>
      </c>
      <c r="L62" s="17"/>
      <c r="M62" s="201" t="s">
        <v>66</v>
      </c>
      <c r="N62" s="17"/>
      <c r="O62" s="201" t="s">
        <v>66</v>
      </c>
      <c r="P62" s="17"/>
      <c r="S62" s="7"/>
    </row>
    <row r="63" spans="3:19" s="5" customFormat="1" ht="15" customHeight="1" x14ac:dyDescent="0.25">
      <c r="C63" s="28"/>
      <c r="D63" s="264"/>
      <c r="E63" s="265" t="str">
        <f>IF(COUNTIF('(1) Grundlagen'!$C$16,TRUE)&lt;1,"Nicht vorhanden","nein")</f>
        <v>nein</v>
      </c>
      <c r="F63" s="265"/>
      <c r="G63" s="28"/>
      <c r="H63" s="28"/>
      <c r="I63" s="261" t="s">
        <v>178</v>
      </c>
      <c r="J63" s="20"/>
      <c r="K63" s="261"/>
      <c r="L63" s="20"/>
      <c r="M63" s="261"/>
      <c r="N63" s="17"/>
      <c r="O63" s="261"/>
      <c r="P63" s="17"/>
      <c r="R63" s="267" t="s">
        <v>133</v>
      </c>
      <c r="S63" s="7"/>
    </row>
    <row r="64" spans="3:19" s="5" customFormat="1" ht="15" customHeight="1" x14ac:dyDescent="0.25">
      <c r="C64" s="28"/>
      <c r="D64" s="264"/>
      <c r="E64" s="265"/>
      <c r="F64" s="265"/>
      <c r="G64" s="28"/>
      <c r="H64" s="28"/>
      <c r="I64" s="262"/>
      <c r="J64" s="20"/>
      <c r="K64" s="262"/>
      <c r="L64" s="20"/>
      <c r="M64" s="262"/>
      <c r="N64" s="18"/>
      <c r="O64" s="262"/>
      <c r="P64" s="18"/>
      <c r="Q64" s="12"/>
      <c r="R64" s="268"/>
      <c r="S64" s="7"/>
    </row>
    <row r="65" spans="3:19" s="5" customFormat="1" ht="30" customHeight="1" x14ac:dyDescent="0.25">
      <c r="C65" s="28"/>
      <c r="D65" s="32"/>
      <c r="E65" s="265" t="str">
        <f>IF(COUNTIF('(1) Grundlagen'!$C$16,TRUE)&lt;1,"","ja")</f>
        <v>ja</v>
      </c>
      <c r="F65" s="265"/>
      <c r="G65" s="28"/>
      <c r="H65" s="28"/>
      <c r="I65" s="99"/>
      <c r="J65" s="20"/>
      <c r="K65" s="99" t="s">
        <v>178</v>
      </c>
      <c r="L65" s="20"/>
      <c r="M65" s="99"/>
      <c r="N65" s="18"/>
      <c r="O65" s="99"/>
      <c r="P65" s="18"/>
      <c r="R65" s="78" t="s">
        <v>227</v>
      </c>
      <c r="S65" s="7"/>
    </row>
    <row r="66" spans="3:19" ht="66.599999999999994" customHeight="1" x14ac:dyDescent="0.25">
      <c r="C66" s="28"/>
      <c r="D66" s="28"/>
      <c r="E66" s="28"/>
      <c r="F66" s="28"/>
      <c r="G66" s="28"/>
      <c r="H66" s="28"/>
      <c r="I66" s="25" t="str">
        <f>IF(COUNTIF(I63:I65,"x")&lt;&gt;1,"FEHLER",IF(I63="x",$R$63,$R$65))</f>
        <v>Grundsätzlich sind alle Bautypen möglich.</v>
      </c>
      <c r="J66" s="18"/>
      <c r="K66" s="25" t="str">
        <f>IF(COUNTIF(K63:K65,"x")&lt;&gt;1,"FEHLER",IF(K63="x",$R$63,$R$65))</f>
        <v>Technische Fischpasse sind zu vermeiden oder auf ein Minimum der Lauflänge zu begrenzen (Bautypenkombination).</v>
      </c>
      <c r="L66" s="18"/>
      <c r="M66" s="25" t="str">
        <f>IF(COUNTIF(M63:M65,"x")&lt;&gt;1,"FEHLER",IF(M63="x",$R$63,$R$65))</f>
        <v>FEHLER</v>
      </c>
      <c r="N66" s="18"/>
      <c r="O66" s="25" t="str">
        <f>IF(COUNTIF(O63:O65,"x")&lt;&gt;1,"FEHLER",IF(O63="x",$R$63,$R$65))</f>
        <v>FEHLER</v>
      </c>
      <c r="P66" s="18"/>
    </row>
    <row r="67" spans="3:19" ht="15" customHeight="1" x14ac:dyDescent="0.25">
      <c r="O67" s="16"/>
      <c r="P67" s="16"/>
    </row>
    <row r="68" spans="3:19" ht="15" customHeight="1" x14ac:dyDescent="0.25">
      <c r="O68" s="16"/>
      <c r="P68" s="16"/>
    </row>
    <row r="69" spans="3:19" ht="15" customHeight="1" x14ac:dyDescent="0.25">
      <c r="C69" s="266" t="s">
        <v>177</v>
      </c>
      <c r="D69" s="266"/>
      <c r="E69" s="266"/>
      <c r="F69" s="266"/>
      <c r="G69" s="266"/>
      <c r="H69" s="28"/>
      <c r="I69" s="18"/>
      <c r="J69" s="18"/>
      <c r="K69" s="18"/>
      <c r="L69" s="18"/>
      <c r="M69" s="18"/>
      <c r="N69" s="18"/>
      <c r="O69" s="18"/>
      <c r="P69" s="18"/>
    </row>
    <row r="70" spans="3:19" ht="15" customHeight="1" x14ac:dyDescent="0.25">
      <c r="C70" s="28"/>
      <c r="D70" s="263" t="s">
        <v>134</v>
      </c>
      <c r="E70" s="263"/>
      <c r="F70" s="263"/>
      <c r="G70" s="263"/>
      <c r="H70" s="28"/>
      <c r="I70" s="18"/>
      <c r="J70" s="18"/>
      <c r="K70" s="55"/>
      <c r="L70" s="18"/>
      <c r="M70" s="18"/>
      <c r="N70" s="18"/>
      <c r="O70" s="18"/>
      <c r="P70" s="18"/>
    </row>
    <row r="71" spans="3:19" ht="15" customHeight="1" x14ac:dyDescent="0.25">
      <c r="C71" s="28"/>
      <c r="D71" s="263"/>
      <c r="E71" s="263"/>
      <c r="F71" s="263"/>
      <c r="G71" s="263"/>
      <c r="H71" s="28"/>
      <c r="I71" s="131" t="str">
        <f>IF(ISBLANK($I$28),"",$I$28)</f>
        <v>K1</v>
      </c>
      <c r="J71" s="17"/>
      <c r="K71" s="131" t="str">
        <f>IF(ISBLANK($K$28),"",$K$28)</f>
        <v>K2</v>
      </c>
      <c r="L71" s="17"/>
      <c r="M71" s="131" t="str">
        <f>IF(ISBLANK($M$28),"",$M$28)</f>
        <v/>
      </c>
      <c r="N71" s="17"/>
      <c r="O71" s="131" t="str">
        <f>IF(ISBLANK($O$28),"",$O$28)</f>
        <v/>
      </c>
      <c r="P71" s="17"/>
    </row>
    <row r="72" spans="3:19" ht="15" customHeight="1" x14ac:dyDescent="0.25">
      <c r="C72" s="28"/>
      <c r="D72" s="180"/>
      <c r="E72" s="180"/>
      <c r="F72" s="180"/>
      <c r="G72" s="180"/>
      <c r="H72" s="28"/>
      <c r="I72" s="201" t="s">
        <v>66</v>
      </c>
      <c r="J72" s="17"/>
      <c r="K72" s="201" t="s">
        <v>66</v>
      </c>
      <c r="L72" s="17"/>
      <c r="M72" s="201" t="s">
        <v>66</v>
      </c>
      <c r="N72" s="17"/>
      <c r="O72" s="201" t="s">
        <v>66</v>
      </c>
      <c r="P72" s="17"/>
    </row>
    <row r="73" spans="3:19" ht="15" customHeight="1" x14ac:dyDescent="0.25">
      <c r="C73" s="28"/>
      <c r="D73" s="264"/>
      <c r="E73" s="265" t="str">
        <f>IF(COUNTIF('(1) Grundlagen'!$C$19,TRUE)&lt;1,"Nicht vorhanden","nein")</f>
        <v>nein</v>
      </c>
      <c r="F73" s="265"/>
      <c r="G73" s="28"/>
      <c r="H73" s="28"/>
      <c r="I73" s="261"/>
      <c r="J73" s="20"/>
      <c r="K73" s="261" t="s">
        <v>178</v>
      </c>
      <c r="L73" s="20"/>
      <c r="M73" s="261"/>
      <c r="N73" s="17"/>
      <c r="O73" s="261"/>
      <c r="P73" s="17"/>
      <c r="R73" s="267" t="s">
        <v>133</v>
      </c>
    </row>
    <row r="74" spans="3:19" ht="15" customHeight="1" x14ac:dyDescent="0.25">
      <c r="C74" s="28"/>
      <c r="D74" s="264"/>
      <c r="E74" s="265"/>
      <c r="F74" s="265"/>
      <c r="G74" s="28"/>
      <c r="H74" s="28"/>
      <c r="I74" s="262"/>
      <c r="J74" s="20"/>
      <c r="K74" s="262"/>
      <c r="L74" s="20"/>
      <c r="M74" s="262"/>
      <c r="N74" s="18"/>
      <c r="O74" s="262"/>
      <c r="P74" s="18"/>
      <c r="Q74" s="12"/>
      <c r="R74" s="268"/>
    </row>
    <row r="75" spans="3:19" ht="30" customHeight="1" x14ac:dyDescent="0.25">
      <c r="C75" s="28"/>
      <c r="D75" s="32"/>
      <c r="E75" s="265" t="str">
        <f>IF(COUNTIF('(1) Grundlagen'!$C$19,TRUE)&lt;1,"","ja")</f>
        <v>ja</v>
      </c>
      <c r="F75" s="265"/>
      <c r="G75" s="28"/>
      <c r="H75" s="28"/>
      <c r="I75" s="99" t="s">
        <v>178</v>
      </c>
      <c r="J75" s="20"/>
      <c r="K75" s="99"/>
      <c r="L75" s="20"/>
      <c r="M75" s="99"/>
      <c r="N75" s="18"/>
      <c r="O75" s="99"/>
      <c r="P75" s="18"/>
      <c r="R75" s="78" t="s">
        <v>227</v>
      </c>
    </row>
    <row r="76" spans="3:19" ht="66.599999999999994" customHeight="1" x14ac:dyDescent="0.25">
      <c r="C76" s="28"/>
      <c r="D76" s="28"/>
      <c r="E76" s="28"/>
      <c r="F76" s="28"/>
      <c r="G76" s="28"/>
      <c r="H76" s="28"/>
      <c r="I76" s="25" t="str">
        <f>IF(COUNTIF(I73:I75,"x")&lt;&gt;1,"FEHLER",IF(I73="x",$R$73,$R$75))</f>
        <v>Technische Fischpasse sind zu vermeiden oder auf ein Minimum der Lauflänge zu begrenzen (Bautypenkombination).</v>
      </c>
      <c r="J76" s="18"/>
      <c r="K76" s="25" t="str">
        <f>IF(COUNTIF(K73:K75,"x")&lt;&gt;1,"FEHLER",IF(K73="x",$R$73,$R$75))</f>
        <v>Grundsätzlich sind alle Bautypen möglich.</v>
      </c>
      <c r="L76" s="18"/>
      <c r="M76" s="25" t="str">
        <f>IF(COUNTIF(M73:M75,"x")&lt;&gt;1,"FEHLER",IF(M73="x",$R$73,$R$75))</f>
        <v>FEHLER</v>
      </c>
      <c r="N76" s="18"/>
      <c r="O76" s="25" t="str">
        <f>IF(COUNTIF(O73:O75,"x")&lt;&gt;1,"FEHLER",IF(O73="x",$R$73,$R$75))</f>
        <v>FEHLER</v>
      </c>
      <c r="P76" s="18"/>
    </row>
    <row r="77" spans="3:19" ht="15" customHeight="1" x14ac:dyDescent="0.25">
      <c r="O77" s="16"/>
      <c r="P77" s="16"/>
    </row>
    <row r="78" spans="3:19" ht="15" customHeight="1" x14ac:dyDescent="0.25">
      <c r="O78" s="16"/>
      <c r="P78" s="16"/>
    </row>
    <row r="79" spans="3:19" ht="15" customHeight="1" x14ac:dyDescent="0.25">
      <c r="C79" s="266" t="s">
        <v>131</v>
      </c>
      <c r="D79" s="266"/>
      <c r="E79" s="266"/>
      <c r="F79" s="266"/>
      <c r="G79" s="266"/>
      <c r="H79" s="278"/>
      <c r="I79" s="278"/>
      <c r="J79" s="18"/>
      <c r="K79" s="18"/>
      <c r="L79" s="18"/>
      <c r="M79" s="18"/>
      <c r="N79" s="18"/>
      <c r="O79" s="18"/>
      <c r="P79" s="18"/>
    </row>
    <row r="80" spans="3:19" ht="15" customHeight="1" x14ac:dyDescent="0.25">
      <c r="C80" s="28"/>
      <c r="D80" s="263" t="s">
        <v>135</v>
      </c>
      <c r="E80" s="263"/>
      <c r="F80" s="263"/>
      <c r="G80" s="263"/>
      <c r="H80" s="28"/>
      <c r="I80" s="18"/>
      <c r="J80" s="18"/>
      <c r="K80" s="55"/>
      <c r="L80" s="18"/>
      <c r="M80" s="18"/>
      <c r="N80" s="18"/>
      <c r="O80" s="18"/>
      <c r="P80" s="18"/>
    </row>
    <row r="81" spans="3:19" ht="15" customHeight="1" x14ac:dyDescent="0.25">
      <c r="C81" s="28"/>
      <c r="D81" s="263"/>
      <c r="E81" s="263"/>
      <c r="F81" s="263"/>
      <c r="G81" s="263"/>
      <c r="H81" s="28"/>
      <c r="I81" s="131" t="str">
        <f>IF(ISBLANK($I$28),"",$I$28)</f>
        <v>K1</v>
      </c>
      <c r="J81" s="17"/>
      <c r="K81" s="131" t="str">
        <f>IF(ISBLANK($K$28),"",$K$28)</f>
        <v>K2</v>
      </c>
      <c r="L81" s="17"/>
      <c r="M81" s="131" t="str">
        <f>IF(ISBLANK($M$28),"",$M$28)</f>
        <v/>
      </c>
      <c r="N81" s="17"/>
      <c r="O81" s="131" t="str">
        <f>IF(ISBLANK($O$28),"",$O$28)</f>
        <v/>
      </c>
      <c r="P81" s="17"/>
    </row>
    <row r="82" spans="3:19" ht="15" customHeight="1" x14ac:dyDescent="0.25">
      <c r="C82" s="28"/>
      <c r="D82" s="180"/>
      <c r="E82" s="180"/>
      <c r="F82" s="180"/>
      <c r="G82" s="180"/>
      <c r="H82" s="28"/>
      <c r="I82" s="201" t="s">
        <v>66</v>
      </c>
      <c r="J82" s="17"/>
      <c r="K82" s="201" t="s">
        <v>66</v>
      </c>
      <c r="L82" s="17"/>
      <c r="M82" s="201" t="s">
        <v>66</v>
      </c>
      <c r="N82" s="17"/>
      <c r="O82" s="201" t="s">
        <v>66</v>
      </c>
      <c r="P82" s="17"/>
    </row>
    <row r="83" spans="3:19" ht="15" customHeight="1" x14ac:dyDescent="0.25">
      <c r="C83" s="28"/>
      <c r="D83" s="264"/>
      <c r="E83" s="265" t="s">
        <v>26</v>
      </c>
      <c r="F83" s="265"/>
      <c r="G83" s="28"/>
      <c r="H83" s="28"/>
      <c r="I83" s="261" t="s">
        <v>178</v>
      </c>
      <c r="J83" s="20"/>
      <c r="K83" s="261" t="s">
        <v>178</v>
      </c>
      <c r="L83" s="20"/>
      <c r="M83" s="261"/>
      <c r="N83" s="17"/>
      <c r="O83" s="261"/>
      <c r="P83" s="17"/>
      <c r="R83" s="267" t="s">
        <v>133</v>
      </c>
    </row>
    <row r="84" spans="3:19" ht="15" customHeight="1" x14ac:dyDescent="0.25">
      <c r="C84" s="28"/>
      <c r="D84" s="264"/>
      <c r="E84" s="265"/>
      <c r="F84" s="265"/>
      <c r="G84" s="28"/>
      <c r="H84" s="28"/>
      <c r="I84" s="262"/>
      <c r="J84" s="20"/>
      <c r="K84" s="262"/>
      <c r="L84" s="20"/>
      <c r="M84" s="262"/>
      <c r="N84" s="18"/>
      <c r="O84" s="262"/>
      <c r="P84" s="18"/>
      <c r="R84" s="268"/>
    </row>
    <row r="85" spans="3:19" ht="30" customHeight="1" x14ac:dyDescent="0.25">
      <c r="C85" s="28"/>
      <c r="D85" s="32"/>
      <c r="E85" s="265" t="s">
        <v>31</v>
      </c>
      <c r="F85" s="265"/>
      <c r="G85" s="28"/>
      <c r="H85" s="28"/>
      <c r="I85" s="99"/>
      <c r="J85" s="20"/>
      <c r="K85" s="99"/>
      <c r="L85" s="20"/>
      <c r="M85" s="99"/>
      <c r="N85" s="18"/>
      <c r="O85" s="99"/>
      <c r="P85" s="18"/>
      <c r="R85" s="78" t="s">
        <v>132</v>
      </c>
    </row>
    <row r="86" spans="3:19" ht="91.5" customHeight="1" x14ac:dyDescent="0.25">
      <c r="C86" s="28"/>
      <c r="D86" s="28"/>
      <c r="E86" s="28"/>
      <c r="F86" s="28"/>
      <c r="G86" s="28"/>
      <c r="H86" s="28"/>
      <c r="I86" s="25" t="str">
        <f>IF(COUNTIF(I83:I85,"x")&lt;&gt;1,"FEHLER",IF(I83="x",$R$83,$R$85))</f>
        <v>Grundsätzlich sind alle Bautypen möglich.</v>
      </c>
      <c r="J86" s="18"/>
      <c r="K86" s="25" t="str">
        <f>IF(COUNTIF(K83:K85,"x")&lt;&gt;1,"FEHLER",IF(K83="x",$R$83,$R$85))</f>
        <v>Grundsätzlich sind alle Bautypen möglich.</v>
      </c>
      <c r="L86" s="18"/>
      <c r="M86" s="25" t="str">
        <f>IF(COUNTIF(M83:M85,"x")&lt;&gt;1,"FEHLER",IF(M83="x",$R$83,$R$85))</f>
        <v>FEHLER</v>
      </c>
      <c r="N86" s="18"/>
      <c r="O86" s="25" t="str">
        <f>IF(COUNTIF(O83:O85,"x")&lt;&gt;1,"FEHLER",IF(O83="x",$R$83,$R$85))</f>
        <v>FEHLER</v>
      </c>
      <c r="P86" s="18"/>
    </row>
    <row r="87" spans="3:19" ht="15" customHeight="1" x14ac:dyDescent="0.25"/>
    <row r="88" spans="3:19" ht="15" customHeight="1" x14ac:dyDescent="0.25"/>
    <row r="89" spans="3:19" s="5" customFormat="1" ht="15" customHeight="1" x14ac:dyDescent="0.25">
      <c r="C89" s="266" t="s">
        <v>262</v>
      </c>
      <c r="D89" s="266"/>
      <c r="E89" s="266"/>
      <c r="F89" s="266"/>
      <c r="G89" s="266"/>
      <c r="H89" s="28"/>
      <c r="I89" s="18"/>
      <c r="J89" s="18"/>
      <c r="K89" s="18"/>
      <c r="L89" s="18"/>
      <c r="M89" s="18"/>
      <c r="N89" s="18"/>
      <c r="O89" s="18"/>
      <c r="P89" s="18"/>
      <c r="S89" s="7"/>
    </row>
    <row r="90" spans="3:19" s="5" customFormat="1" ht="15" customHeight="1" x14ac:dyDescent="0.25">
      <c r="C90" s="28"/>
      <c r="D90" s="263"/>
      <c r="E90" s="263"/>
      <c r="F90" s="263"/>
      <c r="G90" s="263"/>
      <c r="H90" s="28"/>
      <c r="I90" s="18"/>
      <c r="J90" s="18"/>
      <c r="K90" s="55"/>
      <c r="L90" s="18"/>
      <c r="M90" s="18"/>
      <c r="N90" s="18"/>
      <c r="O90" s="18"/>
      <c r="P90" s="18"/>
      <c r="S90" s="7"/>
    </row>
    <row r="91" spans="3:19" s="5" customFormat="1" ht="15" customHeight="1" x14ac:dyDescent="0.25">
      <c r="C91" s="28"/>
      <c r="D91" s="263"/>
      <c r="E91" s="263"/>
      <c r="F91" s="263"/>
      <c r="G91" s="263"/>
      <c r="H91" s="28"/>
      <c r="I91" s="131" t="str">
        <f>IF(ISBLANK($I$28),"",$I$28)</f>
        <v>K1</v>
      </c>
      <c r="J91" s="17"/>
      <c r="K91" s="131" t="str">
        <f>IF(ISBLANK($K$28),"",$K$28)</f>
        <v>K2</v>
      </c>
      <c r="L91" s="17"/>
      <c r="M91" s="131" t="str">
        <f>IF(ISBLANK($M$28),"",$M$28)</f>
        <v/>
      </c>
      <c r="N91" s="17"/>
      <c r="O91" s="131" t="str">
        <f>IF(ISBLANK($O$28),"",$O$28)</f>
        <v/>
      </c>
      <c r="P91" s="17"/>
      <c r="S91" s="7"/>
    </row>
    <row r="92" spans="3:19" s="5" customFormat="1" ht="15" customHeight="1" x14ac:dyDescent="0.25">
      <c r="C92" s="28"/>
      <c r="D92" s="180"/>
      <c r="E92" s="180"/>
      <c r="F92" s="180"/>
      <c r="G92" s="180"/>
      <c r="H92" s="28"/>
      <c r="I92" s="201" t="s">
        <v>66</v>
      </c>
      <c r="J92" s="17"/>
      <c r="K92" s="201" t="s">
        <v>66</v>
      </c>
      <c r="L92" s="17"/>
      <c r="M92" s="201" t="s">
        <v>66</v>
      </c>
      <c r="N92" s="17"/>
      <c r="O92" s="201" t="s">
        <v>66</v>
      </c>
      <c r="P92" s="17"/>
      <c r="S92" s="7"/>
    </row>
    <row r="93" spans="3:19" s="5" customFormat="1" ht="15" customHeight="1" x14ac:dyDescent="0.25">
      <c r="C93" s="28"/>
      <c r="D93" s="264"/>
      <c r="E93" s="265" t="s">
        <v>259</v>
      </c>
      <c r="F93" s="265"/>
      <c r="G93" s="28"/>
      <c r="H93" s="28"/>
      <c r="I93" s="261" t="s">
        <v>178</v>
      </c>
      <c r="J93" s="17"/>
      <c r="K93" s="261"/>
      <c r="L93" s="17"/>
      <c r="M93" s="261"/>
      <c r="N93" s="17"/>
      <c r="O93" s="261"/>
      <c r="P93" s="17"/>
      <c r="R93" s="267" t="s">
        <v>133</v>
      </c>
      <c r="S93" s="7"/>
    </row>
    <row r="94" spans="3:19" s="5" customFormat="1" ht="15" customHeight="1" x14ac:dyDescent="0.25">
      <c r="C94" s="28"/>
      <c r="D94" s="264"/>
      <c r="E94" s="265"/>
      <c r="F94" s="265"/>
      <c r="G94" s="28"/>
      <c r="H94" s="28"/>
      <c r="I94" s="262"/>
      <c r="J94" s="18"/>
      <c r="K94" s="262"/>
      <c r="L94" s="18"/>
      <c r="M94" s="262"/>
      <c r="N94" s="18"/>
      <c r="O94" s="262"/>
      <c r="P94" s="18"/>
      <c r="R94" s="268"/>
      <c r="S94" s="7"/>
    </row>
    <row r="95" spans="3:19" s="5" customFormat="1" ht="30" customHeight="1" x14ac:dyDescent="0.25">
      <c r="C95" s="36">
        <v>0.15</v>
      </c>
      <c r="D95" s="35"/>
      <c r="E95" s="265" t="s">
        <v>260</v>
      </c>
      <c r="F95" s="265"/>
      <c r="G95" s="28"/>
      <c r="H95" s="28"/>
      <c r="I95" s="99"/>
      <c r="J95" s="18"/>
      <c r="K95" s="99" t="s">
        <v>178</v>
      </c>
      <c r="L95" s="18"/>
      <c r="M95" s="99"/>
      <c r="N95" s="18"/>
      <c r="O95" s="99"/>
      <c r="P95" s="18"/>
      <c r="R95" s="79" t="s">
        <v>263</v>
      </c>
      <c r="S95" s="7"/>
    </row>
    <row r="96" spans="3:19" s="5" customFormat="1" ht="30" customHeight="1" x14ac:dyDescent="0.25">
      <c r="C96" s="28"/>
      <c r="D96" s="32"/>
      <c r="E96" s="265" t="s">
        <v>261</v>
      </c>
      <c r="F96" s="265"/>
      <c r="G96" s="28"/>
      <c r="H96" s="28"/>
      <c r="I96" s="99"/>
      <c r="J96" s="18"/>
      <c r="K96" s="99"/>
      <c r="L96" s="18"/>
      <c r="M96" s="200"/>
      <c r="N96" s="18"/>
      <c r="O96" s="200"/>
      <c r="P96" s="18"/>
      <c r="R96" s="78" t="s">
        <v>264</v>
      </c>
      <c r="S96" s="7"/>
    </row>
    <row r="97" spans="3:19" s="5" customFormat="1" ht="84.75" customHeight="1" x14ac:dyDescent="0.25">
      <c r="C97" s="28"/>
      <c r="D97" s="28"/>
      <c r="E97" s="28"/>
      <c r="F97" s="28"/>
      <c r="G97" s="28"/>
      <c r="H97" s="28"/>
      <c r="I97" s="25" t="str">
        <f>IF(COUNTIF(I93:I96,"x")&lt;&gt;1,"FEHLER",IF(I93="x",$R$93,IF(I95="x",$R$95,$R$96)))</f>
        <v>Grundsätzlich sind alle Bautypen möglich.</v>
      </c>
      <c r="J97" s="18"/>
      <c r="K97" s="25" t="str">
        <f>IF(COUNTIF(K93:K96,"x")&lt;&gt;1,"FEHLER",IF(K93="x",$R$93,IF(K95="x",$R$95,$R$96)))</f>
        <v>Bautypenkombinationen (z.B. Schlitzpass beim Einstieg kombiniert mit einen Raugerinne-Beckenpass) sind zu prüfen.</v>
      </c>
      <c r="L97" s="18"/>
      <c r="M97" s="25" t="str">
        <f>IF(COUNTIF(M93:M96,"x")&lt;&gt;1,"FEHLER",IF(M93="x",$R$93,IF(M95="x",$R$95,$R$96)))</f>
        <v>FEHLER</v>
      </c>
      <c r="N97" s="18"/>
      <c r="O97" s="25" t="str">
        <f>IF(COUNTIF(O93:O96,"x")&lt;&gt;1,"FEHLER",IF(O93="x",$R$93,IF(O95="x",$R$95,$R$96)))</f>
        <v>FEHLER</v>
      </c>
      <c r="P97" s="18"/>
      <c r="S97" s="7"/>
    </row>
  </sheetData>
  <sheetProtection algorithmName="SHA-512" hashValue="exB+6AfvinmHJ12FsOJhNfty4apWISnJtJRcrXdzdrFcLC/3kmh3/ZSyQqZoFiBPzG3CCnjdtrMb2tXYdYezxA==" saltValue="34B9jqFqrVY6UefUJtwvaA==" spinCount="100000" sheet="1" objects="1" scenarios="1"/>
  <mergeCells count="79">
    <mergeCell ref="E96:F96"/>
    <mergeCell ref="K93:K94"/>
    <mergeCell ref="M93:M94"/>
    <mergeCell ref="O93:O94"/>
    <mergeCell ref="R93:R94"/>
    <mergeCell ref="E95:F95"/>
    <mergeCell ref="I93:I94"/>
    <mergeCell ref="H79:I79"/>
    <mergeCell ref="B36:P36"/>
    <mergeCell ref="A34:P34"/>
    <mergeCell ref="O43:O44"/>
    <mergeCell ref="I63:I64"/>
    <mergeCell ref="D40:G41"/>
    <mergeCell ref="D43:D44"/>
    <mergeCell ref="E43:F44"/>
    <mergeCell ref="E45:F45"/>
    <mergeCell ref="O53:O54"/>
    <mergeCell ref="O63:O64"/>
    <mergeCell ref="K53:K54"/>
    <mergeCell ref="M53:M54"/>
    <mergeCell ref="E57:F57"/>
    <mergeCell ref="C69:G69"/>
    <mergeCell ref="E65:F65"/>
    <mergeCell ref="E85:F85"/>
    <mergeCell ref="C89:G89"/>
    <mergeCell ref="D90:G91"/>
    <mergeCell ref="D93:D94"/>
    <mergeCell ref="E93:F94"/>
    <mergeCell ref="A3:D3"/>
    <mergeCell ref="E28:F28"/>
    <mergeCell ref="E29:F29"/>
    <mergeCell ref="C26:G26"/>
    <mergeCell ref="A22:P22"/>
    <mergeCell ref="A5:P5"/>
    <mergeCell ref="N9:O9"/>
    <mergeCell ref="D9:E9"/>
    <mergeCell ref="D11:E11"/>
    <mergeCell ref="D10:E10"/>
    <mergeCell ref="D17:E17"/>
    <mergeCell ref="D12:E12"/>
    <mergeCell ref="B24:P24"/>
    <mergeCell ref="I12:J12"/>
    <mergeCell ref="R73:R74"/>
    <mergeCell ref="E75:F75"/>
    <mergeCell ref="M73:M74"/>
    <mergeCell ref="D70:G71"/>
    <mergeCell ref="D73:D74"/>
    <mergeCell ref="E73:F74"/>
    <mergeCell ref="I73:I74"/>
    <mergeCell ref="K73:K74"/>
    <mergeCell ref="O73:O74"/>
    <mergeCell ref="K63:K64"/>
    <mergeCell ref="M63:M64"/>
    <mergeCell ref="E55:F55"/>
    <mergeCell ref="C59:G59"/>
    <mergeCell ref="C49:G49"/>
    <mergeCell ref="D53:D54"/>
    <mergeCell ref="I53:I54"/>
    <mergeCell ref="M43:M44"/>
    <mergeCell ref="K43:K44"/>
    <mergeCell ref="C39:G39"/>
    <mergeCell ref="R83:R84"/>
    <mergeCell ref="C79:G79"/>
    <mergeCell ref="D80:G81"/>
    <mergeCell ref="D83:D84"/>
    <mergeCell ref="E83:F84"/>
    <mergeCell ref="I83:I84"/>
    <mergeCell ref="O83:O84"/>
    <mergeCell ref="K83:K84"/>
    <mergeCell ref="M83:M84"/>
    <mergeCell ref="R43:R44"/>
    <mergeCell ref="R53:R54"/>
    <mergeCell ref="R63:R64"/>
    <mergeCell ref="E53:F54"/>
    <mergeCell ref="I43:I44"/>
    <mergeCell ref="D60:G61"/>
    <mergeCell ref="D63:D64"/>
    <mergeCell ref="E63:F64"/>
    <mergeCell ref="D50:G51"/>
  </mergeCells>
  <conditionalFormatting sqref="I27 I28:R28">
    <cfRule type="cellIs" dxfId="1777" priority="310" operator="equal">
      <formula>"schlecht"</formula>
    </cfRule>
    <cfRule type="cellIs" dxfId="1776" priority="309" operator="equal">
      <formula>"gut"</formula>
    </cfRule>
    <cfRule type="cellIs" dxfId="1775" priority="308" operator="equal">
      <formula>"mässig"</formula>
    </cfRule>
  </conditionalFormatting>
  <conditionalFormatting sqref="I29 I41:I46 I51:I56 I61:I66 I71:I76 I81:I86 I91:I97">
    <cfRule type="expression" dxfId="1774" priority="5">
      <formula>ISBLANK($I$28)=TRUE</formula>
    </cfRule>
  </conditionalFormatting>
  <conditionalFormatting sqref="I29:M29">
    <cfRule type="cellIs" dxfId="1772" priority="307" operator="equal">
      <formula>"schlecht"</formula>
    </cfRule>
    <cfRule type="cellIs" dxfId="1771" priority="306" operator="equal">
      <formula>"gut"</formula>
    </cfRule>
    <cfRule type="cellIs" dxfId="1770" priority="305" operator="equal">
      <formula>"mässig"</formula>
    </cfRule>
  </conditionalFormatting>
  <conditionalFormatting sqref="I39:O46">
    <cfRule type="expression" dxfId="1768" priority="65">
      <formula>$E$43="Nicht vorhanden"</formula>
    </cfRule>
  </conditionalFormatting>
  <conditionalFormatting sqref="I49:O56">
    <cfRule type="expression" dxfId="1767" priority="9">
      <formula>$E$53="Nicht vorhanden"</formula>
    </cfRule>
  </conditionalFormatting>
  <conditionalFormatting sqref="I59:O66">
    <cfRule type="expression" dxfId="1766" priority="8">
      <formula>$E$63="Nicht vorhanden"</formula>
    </cfRule>
  </conditionalFormatting>
  <conditionalFormatting sqref="I69:O76">
    <cfRule type="expression" dxfId="1765" priority="7">
      <formula>$E$73="Nicht vorhanden"</formula>
    </cfRule>
  </conditionalFormatting>
  <conditionalFormatting sqref="K29 K41:K46 K51:K56 K61:K66 K71:K76 K81:K86 K91:K97">
    <cfRule type="expression" dxfId="1764" priority="4">
      <formula>ISBLANK($K$28)=TRUE</formula>
    </cfRule>
  </conditionalFormatting>
  <conditionalFormatting sqref="M29 M41:M46 M51:M56 M61:M66 M71:M76 M81:M86 M91:M97">
    <cfRule type="expression" dxfId="1762" priority="2">
      <formula>ISBLANK($M$28)=TRUE</formula>
    </cfRule>
  </conditionalFormatting>
  <conditionalFormatting sqref="O29 O41:O46 O51:O56 O61:O66 O71:O76 O81:O86 O91:O97">
    <cfRule type="expression" dxfId="1761" priority="1">
      <formula>ISBLANK($O$28)=TRUE</formula>
    </cfRule>
  </conditionalFormatting>
  <conditionalFormatting sqref="O29">
    <cfRule type="cellIs" dxfId="1760" priority="226" operator="equal">
      <formula>"schlecht"</formula>
    </cfRule>
    <cfRule type="cellIs" dxfId="1759" priority="225" operator="equal">
      <formula>"gut"</formula>
    </cfRule>
    <cfRule type="cellIs" dxfId="1758" priority="224" operator="equal">
      <formula>"mässig"</formula>
    </cfRule>
  </conditionalFormatting>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341" operator="containsText" id="{C9655F3A-8D7D-4EA5-B11A-BE275E2ABD0C}">
            <xm:f>NOT(ISERROR(SEARCH("*nicht erlaubt.",H9)))</xm:f>
            <xm:f>"*nicht erlaubt."</xm:f>
            <x14:dxf>
              <fill>
                <patternFill>
                  <bgColor theme="9" tint="-0.24994659260841701"/>
                </patternFill>
              </fill>
            </x14:dxf>
          </x14:cfRule>
          <xm:sqref>H9:I12 K9:K12 N9:N16 L12</xm:sqref>
        </x14:conditionalFormatting>
        <x14:conditionalFormatting xmlns:xm="http://schemas.microsoft.com/office/excel/2006/main">
          <x14:cfRule type="containsText" priority="343" operator="containsText" id="{5F4413A0-CFDD-4121-A23A-4C28094293E4}">
            <xm:f>NOT(ISERROR(SEARCH("keine Anlage",H6)))</xm:f>
            <xm:f>"keine Anlage"</xm:f>
            <x14:dxf>
              <fill>
                <patternFill>
                  <bgColor rgb="FFC00000"/>
                </patternFill>
              </fill>
            </x14:dxf>
          </x14:cfRule>
          <xm:sqref>H6:N8 H9:I12 K9:K12 N9:N16 L12</xm:sqref>
        </x14:conditionalFormatting>
        <x14:conditionalFormatting xmlns:xm="http://schemas.microsoft.com/office/excel/2006/main">
          <x14:cfRule type="containsText" priority="346" operator="containsText" id="{1614BAFA-3092-4F5B-A67C-740F9339F399}">
            <xm:f>NOT(ISERROR(SEARCH("*begrenzen.",H8)))</xm:f>
            <xm:f>"*begrenzen."</xm:f>
            <x14:dxf>
              <fill>
                <patternFill>
                  <bgColor theme="9" tint="-0.24994659260841701"/>
                </patternFill>
              </fill>
            </x14:dxf>
          </x14:cfRule>
          <x14:cfRule type="containsText" priority="345" operator="containsText" id="{27DE6AE6-2E41-4A37-83DD-F2BCE5D2371A}">
            <xm:f>NOT(ISERROR(SEARCH("*möglich",H8)))</xm:f>
            <xm:f>"*möglich"</xm:f>
            <x14:dxf>
              <fill>
                <patternFill>
                  <bgColor rgb="FF92D050"/>
                </patternFill>
              </fill>
            </x14:dxf>
          </x14:cfRule>
          <x14:cfRule type="containsText" priority="342" operator="containsText" id="{368DF069-9D2A-4428-88F1-10A6CFEB49FD}">
            <xm:f>NOT(ISERROR(SEARCH("*in jedem Fall nötig.",H8)))</xm:f>
            <xm:f>"*in jedem Fall nötig."</xm:f>
            <x14:dxf>
              <fill>
                <patternFill>
                  <bgColor theme="9" tint="-0.24994659260841701"/>
                </patternFill>
              </fill>
            </x14:dxf>
          </x14:cfRule>
          <xm:sqref>H8:N8 H9:I12 K9:K12 N9:N16 L12</xm:sqref>
        </x14:conditionalFormatting>
        <x14:conditionalFormatting xmlns:xm="http://schemas.microsoft.com/office/excel/2006/main">
          <x14:cfRule type="containsText" priority="124" operator="containsText" id="{AC0C0778-F10C-470F-B50A-F84BC235A3BF}">
            <xm:f>NOT(ISERROR(SEARCH("*begrenzen.",H17)))</xm:f>
            <xm:f>"*begrenzen."</xm:f>
            <x14:dxf>
              <fill>
                <patternFill>
                  <bgColor theme="9" tint="-0.24994659260841701"/>
                </patternFill>
              </fill>
            </x14:dxf>
          </x14:cfRule>
          <x14:cfRule type="containsText" priority="119" operator="containsText" id="{E251D26A-F7C6-4074-950A-29031F1A69F2}">
            <xm:f>NOT(ISERROR(SEARCH("*nicht erlaubt.",H17)))</xm:f>
            <xm:f>"*nicht erlaubt."</xm:f>
            <x14:dxf>
              <fill>
                <patternFill>
                  <bgColor theme="9" tint="-0.24994659260841701"/>
                </patternFill>
              </fill>
            </x14:dxf>
          </x14:cfRule>
          <x14:cfRule type="containsText" priority="120" operator="containsText" id="{6E33355C-E322-4F92-8126-AD40CAE31A1D}">
            <xm:f>NOT(ISERROR(SEARCH("*in jedem Fall nötig.",H17)))</xm:f>
            <xm:f>"*in jedem Fall nötig."</xm:f>
            <x14:dxf>
              <fill>
                <patternFill>
                  <bgColor theme="9" tint="-0.24994659260841701"/>
                </patternFill>
              </fill>
            </x14:dxf>
          </x14:cfRule>
          <x14:cfRule type="containsText" priority="123" operator="containsText" id="{E26211D9-AE9A-40B8-99E8-AB8B83CBC3D5}">
            <xm:f>NOT(ISERROR(SEARCH("*möglich",H17)))</xm:f>
            <xm:f>"*möglich"</xm:f>
            <x14:dxf>
              <fill>
                <patternFill>
                  <bgColor rgb="FF92D050"/>
                </patternFill>
              </fill>
            </x14:dxf>
          </x14:cfRule>
          <xm:sqref>H17:N18</xm:sqref>
        </x14:conditionalFormatting>
        <x14:conditionalFormatting xmlns:xm="http://schemas.microsoft.com/office/excel/2006/main">
          <x14:cfRule type="containsText" priority="121" operator="containsText" id="{95506B87-1735-47C0-85D6-D65BB43B7F2E}">
            <xm:f>NOT(ISERROR(SEARCH("keine Anlage",H17)))</xm:f>
            <xm:f>"keine Anlage"</xm:f>
            <x14:dxf>
              <fill>
                <patternFill>
                  <bgColor rgb="FFC00000"/>
                </patternFill>
              </fill>
            </x14:dxf>
          </x14:cfRule>
          <xm:sqref>H17:N21</xm:sqref>
        </x14:conditionalFormatting>
        <x14:conditionalFormatting xmlns:xm="http://schemas.microsoft.com/office/excel/2006/main">
          <x14:cfRule type="containsText" priority="68" operator="containsText" id="{3E8D3429-1BB9-477B-8A44-62A585D4865F}">
            <xm:f>NOT(ISERROR(SEARCH("*nicht erlaubt.",H41)))</xm:f>
            <xm:f>"*nicht erlaubt."</xm:f>
            <x14:dxf>
              <fill>
                <patternFill>
                  <bgColor theme="9" tint="-0.24994659260841701"/>
                </patternFill>
              </fill>
            </x14:dxf>
          </x14:cfRule>
          <x14:cfRule type="containsText" priority="80" operator="containsText" id="{87D9ABB0-FA6D-4174-AA2B-85CC3A42A5BB}">
            <xm:f>NOT(ISERROR(SEARCH("*begrenzen (Bautypenkombination)",H41)))</xm:f>
            <xm:f>"*begrenzen (Bautypenkombination)"</xm:f>
            <x14:dxf>
              <fill>
                <patternFill>
                  <bgColor theme="9" tint="-0.24994659260841701"/>
                </patternFill>
              </fill>
            </x14:dxf>
          </x14:cfRule>
          <x14:cfRule type="containsText" priority="66" operator="containsText" id="{18F1C229-60D5-4C33-A652-EF1CBCA5FEFC}">
            <xm:f>NOT(ISERROR(SEARCH("*in jedem Fall nötig.",H41)))</xm:f>
            <xm:f>"*in jedem Fall nötig."</xm:f>
            <x14:dxf>
              <fill>
                <patternFill>
                  <bgColor theme="9" tint="-0.24994659260841701"/>
                </patternFill>
              </fill>
            </x14:dxf>
          </x14:cfRule>
          <x14:cfRule type="containsText" priority="67" operator="containsText" id="{ECC545EC-85B2-4830-9767-98E5CB3932DE}">
            <xm:f>NOT(ISERROR(SEARCH("*sind zu priorisieren.",H41)))</xm:f>
            <xm:f>"*sind zu priorisieren."</xm:f>
            <x14:dxf>
              <fill>
                <patternFill>
                  <bgColor theme="9" tint="-0.24994659260841701"/>
                </patternFill>
              </fill>
            </x14:dxf>
          </x14:cfRule>
          <x14:cfRule type="containsText" priority="77" operator="containsText" id="{634F20A9-B87B-4249-B223-B2D8528A6FFA}">
            <xm:f>NOT(ISERROR(SEARCH("Sonderbauweisen*",H41)))</xm:f>
            <xm:f>"Sonderbauweisen*"</xm:f>
            <x14:dxf>
              <fill>
                <patternFill>
                  <bgColor theme="9" tint="-0.24994659260841701"/>
                </patternFill>
              </fill>
            </x14:dxf>
          </x14:cfRule>
          <x14:cfRule type="containsText" priority="78" operator="containsText" id="{3B304E0C-D115-426F-8AF5-95769C0A782C}">
            <xm:f>NOT(ISERROR(SEARCH("*Schlitzpass beim Einstieg*",H41)))</xm:f>
            <xm:f>"*Schlitzpass beim Einstieg*"</xm:f>
            <x14:dxf>
              <fill>
                <patternFill>
                  <bgColor rgb="FFFFC000"/>
                </patternFill>
              </fill>
            </x14:dxf>
          </x14:cfRule>
          <x14:cfRule type="containsText" priority="79" operator="containsText" id="{D1902745-00FD-492C-B1F7-FB45B1C1B317}">
            <xm:f>NOT(ISERROR(SEARCH("*möglich",H41)))</xm:f>
            <xm:f>"*möglich"</xm:f>
            <x14:dxf>
              <fill>
                <patternFill>
                  <bgColor rgb="FF92D050"/>
                </patternFill>
              </fill>
            </x14:dxf>
          </x14:cfRule>
          <xm:sqref>H41:O97</xm:sqref>
        </x14:conditionalFormatting>
        <x14:conditionalFormatting xmlns:xm="http://schemas.microsoft.com/office/excel/2006/main">
          <x14:cfRule type="containsText" priority="122" operator="containsText" id="{BB232B66-4A8F-4F34-9197-375E3F21BBFF}">
            <xm:f>NOT(ISERROR(SEARCH("*ggf.*",I17)))</xm:f>
            <xm:f>"*ggf.*"</xm:f>
            <x14:dxf>
              <fill>
                <patternFill>
                  <bgColor rgb="FFFFC000"/>
                </patternFill>
              </fill>
            </x14:dxf>
          </x14:cfRule>
          <xm:sqref>I17:K17</xm:sqref>
        </x14:conditionalFormatting>
        <x14:conditionalFormatting xmlns:xm="http://schemas.microsoft.com/office/excel/2006/main">
          <x14:cfRule type="containsText" priority="344" operator="containsText" id="{FB89662A-91F0-4955-81AC-830A1F70873D}">
            <xm:f>NOT(ISERROR(SEARCH("*ggf.*",I8)))</xm:f>
            <xm:f>"*ggf.*"</xm:f>
            <x14:dxf>
              <fill>
                <patternFill>
                  <bgColor rgb="FFFFC000"/>
                </patternFill>
              </fill>
            </x14:dxf>
          </x14:cfRule>
          <xm:sqref>I8:N8 I9:I12 K9:K12</xm:sqref>
        </x14:conditionalFormatting>
        <x14:conditionalFormatting xmlns:xm="http://schemas.microsoft.com/office/excel/2006/main">
          <x14:cfRule type="containsText" priority="118" operator="containsText" id="{B5E11D14-C764-4FA9-A880-FE0917977E5F}">
            <xm:f>NOT(ISERROR(SEARCH("*ggf.*",L17)))</xm:f>
            <xm:f>"*ggf.*"</xm:f>
            <x14:dxf>
              <fill>
                <patternFill>
                  <bgColor rgb="FFFFC000"/>
                </patternFill>
              </fill>
            </x14:dxf>
          </x14:cfRule>
          <xm:sqref>L17</xm:sqref>
        </x14:conditionalFormatting>
        <x14:conditionalFormatting xmlns:xm="http://schemas.microsoft.com/office/excel/2006/main">
          <x14:cfRule type="containsText" priority="231" operator="containsText" id="{601833DB-5D3A-4D08-9DB5-48625EE1CAB1}">
            <xm:f>NOT(ISERROR(SEARCH("*möglich",O26)))</xm:f>
            <xm:f>"*möglich"</xm:f>
            <x14:dxf>
              <fill>
                <patternFill>
                  <bgColor rgb="FF92D050"/>
                </patternFill>
              </fill>
            </x14:dxf>
          </x14:cfRule>
          <x14:cfRule type="containsText" priority="232" operator="containsText" id="{EF1CCDB1-7D69-45CE-85C4-D40814F784B0}">
            <xm:f>NOT(ISERROR(SEARCH("*begrenzen.",O26)))</xm:f>
            <xm:f>"*begrenzen."</xm:f>
            <x14:dxf>
              <fill>
                <patternFill>
                  <bgColor theme="9" tint="-0.24994659260841701"/>
                </patternFill>
              </fill>
            </x14:dxf>
          </x14:cfRule>
          <x14:cfRule type="containsText" priority="229" operator="containsText" id="{1C4DF424-04B9-49AA-A01B-491E67E087A5}">
            <xm:f>NOT(ISERROR(SEARCH("keine Anlage",O26)))</xm:f>
            <xm:f>"keine Anlage"</xm:f>
            <x14:dxf>
              <fill>
                <patternFill>
                  <bgColor rgb="FFC00000"/>
                </patternFill>
              </fill>
            </x14:dxf>
          </x14:cfRule>
          <x14:cfRule type="containsText" priority="227" operator="containsText" id="{B3C8D2E8-96A0-4801-AD5F-86871F8ACEB4}">
            <xm:f>NOT(ISERROR(SEARCH("*nicht erlaubt.",O26)))</xm:f>
            <xm:f>"*nicht erlaubt."</xm:f>
            <x14:dxf>
              <fill>
                <patternFill>
                  <bgColor theme="9" tint="-0.24994659260841701"/>
                </patternFill>
              </fill>
            </x14:dxf>
          </x14:cfRule>
          <x14:cfRule type="containsText" priority="230" operator="containsText" id="{A2B2A465-981E-4C7F-B008-DEDC46CAA799}">
            <xm:f>NOT(ISERROR(SEARCH("*ggf.*",O26)))</xm:f>
            <xm:f>"*ggf.*"</xm:f>
            <x14:dxf>
              <fill>
                <patternFill>
                  <bgColor rgb="FFFFC000"/>
                </patternFill>
              </fill>
            </x14:dxf>
          </x14:cfRule>
          <x14:cfRule type="containsText" priority="228" operator="containsText" id="{D9E6F817-00B6-4CD3-BBC3-C65DFB38824C}">
            <xm:f>NOT(ISERROR(SEARCH("*in jedem Fall nötig.",O26)))</xm:f>
            <xm:f>"*in jedem Fall nötig."</xm:f>
            <x14:dxf>
              <fill>
                <patternFill>
                  <bgColor theme="9" tint="-0.24994659260841701"/>
                </patternFill>
              </fill>
            </x14:dxf>
          </x14:cfRule>
          <xm:sqref>O26:P26 P29 O30:P30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B63C6-696C-4C47-8DC7-8236139AF5AE}">
  <sheetPr codeName="Tabelle7">
    <tabColor rgb="FF395A8F"/>
  </sheetPr>
  <dimension ref="A1:AP43"/>
  <sheetViews>
    <sheetView defaultGridColor="0" colorId="9" zoomScale="85" zoomScaleNormal="85" zoomScaleSheetLayoutView="115" zoomScalePageLayoutView="85" workbookViewId="0"/>
  </sheetViews>
  <sheetFormatPr baseColWidth="10" defaultColWidth="11.44140625" defaultRowHeight="13.2" x14ac:dyDescent="0.25"/>
  <cols>
    <col min="1" max="2" width="3.6640625" style="8" customWidth="1"/>
    <col min="3" max="4" width="3.5546875" style="8" customWidth="1"/>
    <col min="5" max="5" width="18.44140625" style="8" customWidth="1"/>
    <col min="6" max="6" width="34.109375" style="8" customWidth="1"/>
    <col min="7" max="7" width="12" style="8" customWidth="1"/>
    <col min="8" max="8" width="5.109375" style="8" customWidth="1"/>
    <col min="9" max="9" width="34.109375" style="16" customWidth="1"/>
    <col min="10" max="11" width="1.6640625" style="16" customWidth="1"/>
    <col min="12" max="12" width="34.109375" style="16" customWidth="1"/>
    <col min="13" max="14" width="1.6640625" style="16" customWidth="1"/>
    <col min="15" max="15" width="34.109375" style="16" customWidth="1"/>
    <col min="16" max="17" width="1.6640625" style="16" customWidth="1"/>
    <col min="18" max="18" width="34.109375" style="16" customWidth="1"/>
    <col min="19" max="20" width="1.6640625" style="16" customWidth="1"/>
    <col min="21" max="21" width="34.109375" style="16" customWidth="1"/>
    <col min="22" max="22" width="3.5546875" style="16" customWidth="1"/>
    <col min="23" max="23" width="39.109375" style="8" customWidth="1"/>
    <col min="24" max="24" width="5.109375" style="52" hidden="1" customWidth="1"/>
    <col min="25" max="25" width="6.88671875" style="8" hidden="1" customWidth="1"/>
    <col min="26" max="26" width="3" style="5" hidden="1" customWidth="1"/>
    <col min="27" max="27" width="43.33203125" style="8" hidden="1" customWidth="1"/>
    <col min="28" max="31" width="43.33203125" style="5" hidden="1" customWidth="1"/>
    <col min="32" max="32" width="24.109375" style="5" hidden="1" customWidth="1"/>
    <col min="33" max="33" width="10.6640625" style="5" customWidth="1"/>
    <col min="34" max="34" width="38.5546875" style="5" customWidth="1"/>
    <col min="35" max="35" width="27.44140625" style="7" customWidth="1"/>
    <col min="36" max="36" width="27.44140625" style="8" customWidth="1"/>
    <col min="37" max="37" width="2.88671875" style="8" customWidth="1"/>
    <col min="38" max="38" width="27.44140625" style="8" customWidth="1"/>
    <col min="39" max="39" width="2.88671875" style="8" customWidth="1"/>
    <col min="40" max="40" width="27.44140625" style="8" customWidth="1"/>
    <col min="41" max="41" width="2.88671875" style="8" customWidth="1"/>
    <col min="42" max="42" width="22.88671875" style="8" customWidth="1"/>
    <col min="43" max="43" width="3.6640625" style="8" customWidth="1"/>
    <col min="44" max="44" width="13.33203125" style="8" customWidth="1"/>
    <col min="45" max="16384" width="11.44140625" style="8"/>
  </cols>
  <sheetData>
    <row r="1" spans="1:42" ht="25.5" customHeight="1" x14ac:dyDescent="0.25">
      <c r="A1" s="44" t="s">
        <v>214</v>
      </c>
      <c r="B1" s="44"/>
      <c r="Z1" s="14"/>
    </row>
    <row r="2" spans="1:42" ht="15" customHeight="1" x14ac:dyDescent="0.25">
      <c r="A2" s="44"/>
      <c r="B2" s="44"/>
      <c r="Z2" s="14"/>
    </row>
    <row r="3" spans="1:42" ht="15" customHeight="1" x14ac:dyDescent="0.25">
      <c r="A3" s="238" t="s">
        <v>240</v>
      </c>
      <c r="B3" s="238"/>
      <c r="C3" s="238"/>
      <c r="D3" s="238"/>
      <c r="Z3" s="14"/>
    </row>
    <row r="4" spans="1:42" ht="15" customHeight="1" x14ac:dyDescent="0.25">
      <c r="A4" s="44"/>
      <c r="B4" s="44"/>
      <c r="Z4" s="14"/>
    </row>
    <row r="5" spans="1:42" ht="15" customHeight="1" x14ac:dyDescent="0.25">
      <c r="A5" s="281" t="s">
        <v>201</v>
      </c>
      <c r="B5" s="281"/>
      <c r="C5" s="281"/>
      <c r="D5" s="281"/>
      <c r="E5" s="281"/>
      <c r="F5" s="281"/>
      <c r="G5" s="281"/>
      <c r="H5" s="281"/>
      <c r="I5" s="281"/>
      <c r="J5" s="281"/>
      <c r="K5" s="281"/>
      <c r="L5" s="281"/>
      <c r="M5" s="281"/>
      <c r="N5" s="281"/>
      <c r="O5" s="281"/>
      <c r="P5" s="281"/>
      <c r="Q5" s="281"/>
      <c r="R5" s="281"/>
      <c r="S5" s="281"/>
      <c r="T5" s="281"/>
      <c r="U5" s="281"/>
      <c r="V5" s="281"/>
      <c r="Z5" s="14"/>
    </row>
    <row r="6" spans="1:42" ht="15" customHeight="1" x14ac:dyDescent="0.25">
      <c r="A6" s="44"/>
      <c r="B6" s="44"/>
      <c r="Z6" s="14"/>
    </row>
    <row r="7" spans="1:42" ht="15" customHeight="1" x14ac:dyDescent="0.25">
      <c r="B7" s="275" t="s">
        <v>239</v>
      </c>
      <c r="C7" s="275"/>
      <c r="D7" s="275"/>
      <c r="E7" s="275"/>
      <c r="F7" s="275"/>
      <c r="G7" s="275"/>
      <c r="H7" s="275"/>
      <c r="I7" s="275"/>
      <c r="J7" s="275"/>
      <c r="K7" s="275"/>
      <c r="L7" s="275"/>
      <c r="M7" s="275"/>
      <c r="N7" s="275"/>
      <c r="O7" s="275"/>
      <c r="P7" s="275"/>
      <c r="Q7" s="275"/>
      <c r="R7" s="275"/>
      <c r="S7" s="275"/>
      <c r="T7" s="275"/>
      <c r="U7" s="275"/>
      <c r="V7" s="275"/>
      <c r="Z7" s="14"/>
    </row>
    <row r="8" spans="1:42" ht="15" customHeight="1" x14ac:dyDescent="0.25">
      <c r="A8" s="44"/>
      <c r="B8" s="44"/>
      <c r="Z8" s="14"/>
    </row>
    <row r="9" spans="1:42" ht="15" customHeight="1" x14ac:dyDescent="0.25">
      <c r="A9" s="44"/>
      <c r="B9" s="44"/>
      <c r="C9" s="269" t="s">
        <v>200</v>
      </c>
      <c r="D9" s="269"/>
      <c r="E9" s="269"/>
      <c r="F9" s="269"/>
      <c r="G9" s="69"/>
      <c r="H9" s="69"/>
      <c r="I9" s="39"/>
      <c r="J9" s="39"/>
      <c r="K9" s="39"/>
      <c r="L9" s="39"/>
      <c r="M9" s="39"/>
      <c r="N9" s="39"/>
      <c r="O9" s="39"/>
      <c r="P9" s="39"/>
      <c r="Q9" s="39"/>
      <c r="R9" s="39"/>
      <c r="S9" s="39"/>
      <c r="T9" s="39"/>
      <c r="U9" s="39"/>
      <c r="V9" s="39"/>
      <c r="Z9" s="14"/>
    </row>
    <row r="10" spans="1:42" ht="15" customHeight="1" x14ac:dyDescent="0.25">
      <c r="C10" s="69"/>
      <c r="D10" s="69"/>
      <c r="E10" s="69"/>
      <c r="F10" s="69"/>
      <c r="G10" s="69"/>
      <c r="H10" s="69"/>
      <c r="I10" s="110"/>
      <c r="J10" s="110"/>
      <c r="K10" s="110"/>
      <c r="L10" s="110"/>
      <c r="M10" s="110"/>
      <c r="N10" s="110"/>
      <c r="O10" s="110"/>
      <c r="P10" s="110"/>
      <c r="Q10" s="110"/>
      <c r="R10" s="110"/>
      <c r="S10" s="110"/>
      <c r="T10" s="110"/>
      <c r="U10" s="110"/>
      <c r="V10" s="39"/>
    </row>
    <row r="11" spans="1:42" s="5" customFormat="1" ht="15" customHeight="1" x14ac:dyDescent="0.25">
      <c r="A11" s="111"/>
      <c r="B11" s="111"/>
      <c r="C11" s="113"/>
      <c r="D11" s="113"/>
      <c r="E11" s="282" t="s">
        <v>194</v>
      </c>
      <c r="F11" s="282"/>
      <c r="G11" s="28"/>
      <c r="H11" s="109"/>
      <c r="I11" s="197" t="s">
        <v>22</v>
      </c>
      <c r="J11" s="17"/>
      <c r="K11" s="17"/>
      <c r="L11" s="197" t="s">
        <v>23</v>
      </c>
      <c r="M11" s="17"/>
      <c r="N11" s="17"/>
      <c r="O11" s="197" t="s">
        <v>441</v>
      </c>
      <c r="P11" s="17"/>
      <c r="Q11" s="17"/>
      <c r="R11" s="197"/>
      <c r="S11" s="17"/>
      <c r="T11" s="17"/>
      <c r="U11" s="197"/>
      <c r="V11" s="18"/>
      <c r="X11" s="51"/>
      <c r="Z11" s="2"/>
      <c r="AB11" s="1"/>
      <c r="AC11" s="1"/>
      <c r="AD11" s="1"/>
      <c r="AE11" s="1"/>
      <c r="AF11" s="1"/>
      <c r="AG11" s="1"/>
      <c r="AI11" s="3"/>
      <c r="AJ11" s="3"/>
      <c r="AK11" s="3"/>
      <c r="AL11" s="1"/>
      <c r="AM11" s="1"/>
      <c r="AN11" s="3"/>
      <c r="AO11" s="3"/>
      <c r="AP11" s="3"/>
    </row>
    <row r="12" spans="1:42" s="5" customFormat="1" ht="45" customHeight="1" x14ac:dyDescent="0.25">
      <c r="A12" s="80"/>
      <c r="B12" s="80"/>
      <c r="C12" s="112"/>
      <c r="D12" s="112"/>
      <c r="E12" s="265" t="s">
        <v>230</v>
      </c>
      <c r="F12" s="265"/>
      <c r="G12" s="28"/>
      <c r="H12" s="28"/>
      <c r="I12" s="202" t="s">
        <v>179</v>
      </c>
      <c r="J12" s="18"/>
      <c r="K12" s="18"/>
      <c r="L12" s="203" t="s">
        <v>480</v>
      </c>
      <c r="M12" s="18"/>
      <c r="N12" s="18"/>
      <c r="O12" s="203" t="s">
        <v>228</v>
      </c>
      <c r="P12" s="18"/>
      <c r="Q12" s="18"/>
      <c r="R12" s="203"/>
      <c r="S12" s="18"/>
      <c r="T12" s="18"/>
      <c r="U12" s="203"/>
      <c r="V12" s="18"/>
      <c r="X12" s="51"/>
      <c r="Z12" s="2"/>
      <c r="AB12" s="1"/>
      <c r="AC12" s="1"/>
      <c r="AD12" s="1"/>
      <c r="AE12" s="1"/>
      <c r="AF12" s="1"/>
      <c r="AG12" s="1"/>
      <c r="AI12" s="3"/>
      <c r="AJ12" s="3"/>
      <c r="AK12" s="3"/>
      <c r="AL12" s="1"/>
      <c r="AM12" s="1"/>
      <c r="AN12" s="3"/>
      <c r="AO12" s="3"/>
      <c r="AP12" s="3"/>
    </row>
    <row r="13" spans="1:42" s="5" customFormat="1" ht="15" customHeight="1" x14ac:dyDescent="0.25">
      <c r="A13" s="80"/>
      <c r="B13" s="80"/>
      <c r="C13" s="112"/>
      <c r="D13" s="112"/>
      <c r="E13" s="28"/>
      <c r="F13" s="28"/>
      <c r="G13" s="28"/>
      <c r="H13" s="28"/>
      <c r="I13" s="18"/>
      <c r="J13" s="18"/>
      <c r="K13" s="18"/>
      <c r="L13" s="18"/>
      <c r="M13" s="18"/>
      <c r="N13" s="18"/>
      <c r="O13" s="18"/>
      <c r="P13" s="18"/>
      <c r="Q13" s="18"/>
      <c r="R13" s="18"/>
      <c r="S13" s="18"/>
      <c r="T13" s="18"/>
      <c r="U13" s="18"/>
      <c r="V13" s="18"/>
      <c r="X13" s="51"/>
      <c r="Z13" s="2"/>
      <c r="AB13" s="1"/>
      <c r="AC13" s="1"/>
      <c r="AD13" s="1"/>
      <c r="AE13" s="1"/>
      <c r="AF13" s="1"/>
      <c r="AG13" s="1"/>
      <c r="AI13" s="3"/>
      <c r="AJ13" s="3"/>
      <c r="AK13" s="3"/>
      <c r="AL13" s="1"/>
      <c r="AM13" s="1"/>
      <c r="AN13" s="3"/>
      <c r="AO13" s="3"/>
      <c r="AP13" s="3"/>
    </row>
    <row r="14" spans="1:42" s="5" customFormat="1" ht="15" customHeight="1" x14ac:dyDescent="0.25">
      <c r="A14" s="80"/>
      <c r="B14" s="80"/>
      <c r="C14" s="80"/>
      <c r="D14" s="80"/>
      <c r="I14" s="1"/>
      <c r="J14" s="1"/>
      <c r="K14" s="1"/>
      <c r="L14" s="1"/>
      <c r="M14" s="1"/>
      <c r="N14" s="1"/>
      <c r="O14" s="1"/>
      <c r="P14" s="1"/>
      <c r="Q14" s="1"/>
      <c r="R14" s="1"/>
      <c r="S14" s="1"/>
      <c r="T14" s="1"/>
      <c r="U14" s="1"/>
      <c r="V14" s="1"/>
      <c r="X14" s="51"/>
      <c r="Z14" s="2"/>
      <c r="AB14" s="1"/>
      <c r="AC14" s="1"/>
      <c r="AD14" s="1"/>
      <c r="AE14" s="1"/>
      <c r="AF14" s="1"/>
      <c r="AG14" s="1"/>
      <c r="AI14" s="3"/>
      <c r="AJ14" s="3"/>
      <c r="AK14" s="3"/>
      <c r="AL14" s="1"/>
      <c r="AM14" s="1"/>
      <c r="AN14" s="3"/>
      <c r="AO14" s="3"/>
      <c r="AP14" s="3"/>
    </row>
    <row r="15" spans="1:42" s="5" customFormat="1" ht="15" customHeight="1" x14ac:dyDescent="0.25">
      <c r="A15" s="80"/>
      <c r="B15" s="80"/>
      <c r="C15" s="80"/>
      <c r="D15" s="80"/>
      <c r="I15" s="1"/>
      <c r="J15" s="1"/>
      <c r="K15" s="1"/>
      <c r="L15" s="1"/>
      <c r="M15" s="1"/>
      <c r="N15" s="1"/>
      <c r="O15" s="1"/>
      <c r="P15" s="1"/>
      <c r="Q15" s="1"/>
      <c r="R15" s="1"/>
      <c r="S15" s="1"/>
      <c r="T15" s="1"/>
      <c r="U15" s="1"/>
      <c r="V15" s="1"/>
      <c r="X15" s="51"/>
      <c r="Z15" s="2"/>
      <c r="AB15" s="1"/>
      <c r="AC15" s="1"/>
      <c r="AD15" s="1"/>
      <c r="AE15" s="1"/>
      <c r="AF15" s="1"/>
      <c r="AG15" s="1"/>
      <c r="AI15" s="3"/>
      <c r="AJ15" s="3"/>
      <c r="AK15" s="3"/>
      <c r="AL15" s="1"/>
      <c r="AM15" s="1"/>
      <c r="AN15" s="3"/>
      <c r="AO15" s="3"/>
      <c r="AP15" s="3"/>
    </row>
    <row r="16" spans="1:42" s="5" customFormat="1" ht="15" customHeight="1" x14ac:dyDescent="0.25">
      <c r="I16" s="1"/>
      <c r="J16" s="1"/>
      <c r="K16" s="1"/>
      <c r="L16" s="1"/>
      <c r="M16" s="1"/>
      <c r="N16" s="1"/>
      <c r="O16" s="1"/>
      <c r="P16" s="1"/>
      <c r="Q16" s="1"/>
      <c r="R16" s="1"/>
      <c r="S16" s="1"/>
      <c r="T16" s="1"/>
      <c r="U16" s="1"/>
      <c r="V16" s="1"/>
      <c r="X16" s="51"/>
      <c r="Z16" s="2"/>
      <c r="AB16" s="1"/>
      <c r="AC16" s="1"/>
      <c r="AD16" s="1"/>
      <c r="AE16" s="1"/>
      <c r="AF16" s="1"/>
      <c r="AG16" s="1"/>
      <c r="AI16" s="3"/>
      <c r="AJ16" s="3"/>
      <c r="AK16" s="3"/>
      <c r="AL16" s="1"/>
      <c r="AM16" s="1"/>
      <c r="AN16" s="3"/>
      <c r="AO16" s="3"/>
      <c r="AP16" s="3"/>
    </row>
    <row r="17" spans="1:35" ht="15" customHeight="1" x14ac:dyDescent="0.25">
      <c r="A17" s="281" t="s">
        <v>198</v>
      </c>
      <c r="B17" s="281"/>
      <c r="C17" s="281"/>
      <c r="D17" s="281"/>
      <c r="E17" s="281"/>
      <c r="F17" s="281"/>
      <c r="G17" s="281"/>
      <c r="H17" s="281"/>
      <c r="I17" s="281"/>
      <c r="J17" s="281"/>
      <c r="K17" s="281"/>
      <c r="L17" s="281"/>
      <c r="M17" s="281"/>
      <c r="N17" s="281"/>
      <c r="O17" s="281"/>
      <c r="P17" s="281"/>
      <c r="Q17" s="281"/>
      <c r="R17" s="281"/>
      <c r="S17" s="281"/>
      <c r="T17" s="281"/>
      <c r="U17" s="281"/>
      <c r="V17" s="281"/>
    </row>
    <row r="18" spans="1:35" s="68" customFormat="1" ht="15" customHeight="1" x14ac:dyDescent="0.25">
      <c r="A18" s="108"/>
      <c r="B18" s="108"/>
      <c r="I18" s="54"/>
      <c r="J18" s="54"/>
      <c r="K18" s="54"/>
      <c r="L18" s="54"/>
      <c r="M18" s="54"/>
      <c r="N18" s="54"/>
      <c r="O18" s="54"/>
      <c r="P18" s="54"/>
      <c r="Q18" s="54"/>
      <c r="R18" s="54"/>
      <c r="S18" s="54"/>
      <c r="T18" s="54"/>
      <c r="U18" s="54"/>
      <c r="V18" s="54"/>
      <c r="X18" s="141"/>
      <c r="Z18" s="6"/>
      <c r="AB18" s="6"/>
      <c r="AC18" s="6"/>
      <c r="AD18" s="6"/>
      <c r="AE18" s="6"/>
      <c r="AF18" s="6"/>
      <c r="AG18" s="6"/>
      <c r="AH18" s="6"/>
      <c r="AI18" s="9"/>
    </row>
    <row r="19" spans="1:35" s="68" customFormat="1" ht="15" customHeight="1" x14ac:dyDescent="0.25">
      <c r="A19" s="108"/>
      <c r="B19" s="275" t="s">
        <v>422</v>
      </c>
      <c r="C19" s="275"/>
      <c r="D19" s="275"/>
      <c r="E19" s="275"/>
      <c r="F19" s="275"/>
      <c r="G19" s="275"/>
      <c r="H19" s="275"/>
      <c r="I19" s="275"/>
      <c r="J19" s="275"/>
      <c r="K19" s="275"/>
      <c r="L19" s="275"/>
      <c r="M19" s="275"/>
      <c r="N19" s="275"/>
      <c r="O19" s="275"/>
      <c r="P19" s="275"/>
      <c r="Q19" s="275"/>
      <c r="R19" s="275"/>
      <c r="S19" s="275"/>
      <c r="T19" s="275"/>
      <c r="U19" s="275"/>
      <c r="V19" s="275"/>
      <c r="X19" s="141"/>
      <c r="Z19" s="6"/>
      <c r="AB19" s="6"/>
      <c r="AC19" s="6"/>
      <c r="AD19" s="6"/>
      <c r="AE19" s="6"/>
      <c r="AF19" s="6"/>
      <c r="AG19" s="6"/>
      <c r="AH19" s="6"/>
      <c r="AI19" s="9"/>
    </row>
    <row r="20" spans="1:35" s="68" customFormat="1" ht="15" customHeight="1" x14ac:dyDescent="0.25">
      <c r="A20" s="108"/>
      <c r="B20" s="108"/>
      <c r="I20" s="54"/>
      <c r="J20" s="54"/>
      <c r="K20" s="54"/>
      <c r="L20" s="54"/>
      <c r="M20" s="54"/>
      <c r="N20" s="54"/>
      <c r="O20" s="54"/>
      <c r="P20" s="54"/>
      <c r="Q20" s="54"/>
      <c r="R20" s="54"/>
      <c r="S20" s="54"/>
      <c r="T20" s="54"/>
      <c r="U20" s="54"/>
      <c r="V20" s="54"/>
      <c r="X20" s="141"/>
      <c r="Z20" s="6"/>
      <c r="AB20" s="6"/>
      <c r="AC20" s="6"/>
      <c r="AD20" s="6"/>
      <c r="AE20" s="6"/>
      <c r="AF20" s="6"/>
      <c r="AG20" s="6"/>
      <c r="AH20" s="6"/>
      <c r="AI20" s="9"/>
    </row>
    <row r="21" spans="1:35" s="68" customFormat="1" ht="15" customHeight="1" x14ac:dyDescent="0.25">
      <c r="A21" s="108"/>
      <c r="B21" s="108"/>
      <c r="C21" s="72" t="s">
        <v>215</v>
      </c>
      <c r="D21" s="70"/>
      <c r="E21" s="70"/>
      <c r="F21" s="70"/>
      <c r="G21" s="70"/>
      <c r="H21" s="70"/>
      <c r="I21" s="55"/>
      <c r="J21" s="55"/>
      <c r="K21" s="55"/>
      <c r="L21" s="55"/>
      <c r="M21" s="55"/>
      <c r="N21" s="55"/>
      <c r="O21" s="55"/>
      <c r="P21" s="55"/>
      <c r="Q21" s="55"/>
      <c r="R21" s="55"/>
      <c r="S21" s="55"/>
      <c r="T21" s="55"/>
      <c r="U21" s="55"/>
      <c r="V21" s="55"/>
      <c r="X21" s="141"/>
      <c r="Z21" s="6"/>
      <c r="AB21" s="6"/>
      <c r="AC21" s="6"/>
      <c r="AD21" s="6"/>
      <c r="AE21" s="6"/>
      <c r="AF21" s="6"/>
      <c r="AG21" s="6"/>
      <c r="AH21" s="6"/>
      <c r="AI21" s="9"/>
    </row>
    <row r="22" spans="1:35" s="68" customFormat="1" ht="15" customHeight="1" x14ac:dyDescent="0.25">
      <c r="A22" s="108"/>
      <c r="B22" s="108"/>
      <c r="C22" s="70"/>
      <c r="D22" s="70"/>
      <c r="E22" s="70"/>
      <c r="F22" s="70"/>
      <c r="G22" s="70"/>
      <c r="H22" s="70"/>
      <c r="I22" s="55"/>
      <c r="J22" s="55"/>
      <c r="K22" s="55"/>
      <c r="L22" s="55"/>
      <c r="M22" s="55"/>
      <c r="N22" s="55"/>
      <c r="O22" s="55"/>
      <c r="P22" s="55"/>
      <c r="Q22" s="55"/>
      <c r="R22" s="55"/>
      <c r="S22" s="55"/>
      <c r="T22" s="55"/>
      <c r="U22" s="55"/>
      <c r="V22" s="55"/>
      <c r="X22" s="141"/>
      <c r="Z22" s="6"/>
      <c r="AB22" s="6"/>
      <c r="AC22" s="6"/>
      <c r="AD22" s="6"/>
      <c r="AE22" s="6"/>
      <c r="AF22" s="6"/>
      <c r="AG22" s="6"/>
      <c r="AH22" s="6"/>
      <c r="AI22" s="9"/>
    </row>
    <row r="23" spans="1:35" ht="15" customHeight="1" x14ac:dyDescent="0.25">
      <c r="A23" s="111"/>
      <c r="B23" s="111"/>
      <c r="C23" s="113"/>
      <c r="D23" s="113"/>
      <c r="E23" s="28"/>
      <c r="F23" s="291"/>
      <c r="G23" s="291"/>
      <c r="H23" s="291"/>
      <c r="I23" s="131" t="str">
        <f>IF(ISBLANK(I$11),"",I$11)</f>
        <v>V1</v>
      </c>
      <c r="J23" s="17"/>
      <c r="K23" s="17"/>
      <c r="L23" s="131" t="str">
        <f>IF(ISBLANK(L$11),"",L$11)</f>
        <v>V2</v>
      </c>
      <c r="M23" s="17"/>
      <c r="N23" s="17"/>
      <c r="O23" s="131" t="str">
        <f>IF(ISBLANK(O$11),"",O$11)</f>
        <v>V3</v>
      </c>
      <c r="P23" s="17"/>
      <c r="Q23" s="17"/>
      <c r="R23" s="131" t="str">
        <f>IF(ISBLANK(R$11),"",R$11)</f>
        <v/>
      </c>
      <c r="S23" s="17"/>
      <c r="T23" s="17"/>
      <c r="U23" s="131" t="str">
        <f>IF(ISBLANK(U$11),"",U$11)</f>
        <v/>
      </c>
      <c r="V23" s="18"/>
      <c r="X23" s="51"/>
      <c r="Z23" s="28"/>
      <c r="AA23" s="69"/>
      <c r="AB23" s="28"/>
      <c r="AC23" s="28"/>
      <c r="AD23" s="28"/>
      <c r="AE23" s="28"/>
      <c r="AF23" s="28"/>
    </row>
    <row r="24" spans="1:35" s="5" customFormat="1" ht="15" customHeight="1" x14ac:dyDescent="0.25">
      <c r="A24" s="117"/>
      <c r="B24" s="117"/>
      <c r="C24" s="118"/>
      <c r="D24" s="118"/>
      <c r="E24" s="265" t="s">
        <v>226</v>
      </c>
      <c r="F24" s="265"/>
      <c r="G24" s="28"/>
      <c r="H24" s="28"/>
      <c r="I24" s="202" t="s">
        <v>26</v>
      </c>
      <c r="J24" s="18"/>
      <c r="K24" s="18"/>
      <c r="L24" s="202" t="s">
        <v>31</v>
      </c>
      <c r="M24" s="18"/>
      <c r="N24" s="18"/>
      <c r="O24" s="202" t="s">
        <v>31</v>
      </c>
      <c r="P24" s="18"/>
      <c r="Q24" s="18"/>
      <c r="R24" s="202" t="s">
        <v>175</v>
      </c>
      <c r="S24" s="18"/>
      <c r="T24" s="18"/>
      <c r="U24" s="202" t="s">
        <v>175</v>
      </c>
      <c r="V24" s="18"/>
      <c r="X24" s="51"/>
      <c r="Z24" s="28"/>
      <c r="AA24" s="71"/>
      <c r="AB24" s="18"/>
      <c r="AC24" s="18"/>
      <c r="AD24" s="18"/>
      <c r="AE24" s="20"/>
      <c r="AF24" s="20"/>
      <c r="AI24" s="7"/>
    </row>
    <row r="25" spans="1:35" s="5" customFormat="1" ht="30" customHeight="1" x14ac:dyDescent="0.25">
      <c r="A25" s="117"/>
      <c r="B25" s="117"/>
      <c r="C25" s="118"/>
      <c r="D25" s="118"/>
      <c r="E25" s="265" t="s">
        <v>231</v>
      </c>
      <c r="F25" s="282"/>
      <c r="G25" s="28"/>
      <c r="H25" s="28"/>
      <c r="I25" s="202" t="s">
        <v>207</v>
      </c>
      <c r="J25" s="18"/>
      <c r="K25" s="18"/>
      <c r="L25" s="202" t="s">
        <v>233</v>
      </c>
      <c r="M25" s="18"/>
      <c r="N25" s="18"/>
      <c r="O25" s="202" t="s">
        <v>207</v>
      </c>
      <c r="P25" s="18"/>
      <c r="Q25" s="18"/>
      <c r="R25" s="202" t="s">
        <v>175</v>
      </c>
      <c r="S25" s="18"/>
      <c r="T25" s="18"/>
      <c r="U25" s="202" t="s">
        <v>175</v>
      </c>
      <c r="V25" s="18"/>
      <c r="X25" s="284" t="s">
        <v>44</v>
      </c>
      <c r="Z25" s="28"/>
      <c r="AA25" s="71" t="s">
        <v>175</v>
      </c>
      <c r="AB25" s="41" t="s">
        <v>206</v>
      </c>
      <c r="AC25" s="41" t="s">
        <v>207</v>
      </c>
      <c r="AD25" s="41" t="s">
        <v>218</v>
      </c>
      <c r="AE25" s="37" t="s">
        <v>233</v>
      </c>
      <c r="AF25" s="37" t="s">
        <v>423</v>
      </c>
      <c r="AI25" s="7"/>
    </row>
    <row r="26" spans="1:35" s="115" customFormat="1" ht="15" customHeight="1" x14ac:dyDescent="0.25">
      <c r="A26" s="107"/>
      <c r="B26" s="107"/>
      <c r="C26" s="112"/>
      <c r="D26" s="112"/>
      <c r="E26" s="46"/>
      <c r="F26" s="47"/>
      <c r="G26" s="28"/>
      <c r="H26" s="28"/>
      <c r="I26" s="83">
        <f>IF(I$25=$AB$25,1,IF(I$25=$AC$25,2,IF(I$25=$AD$25,3,IF(I$25=$AE$25,4,IF(I$25=$AF$25,5,"")))))</f>
        <v>2</v>
      </c>
      <c r="J26" s="18"/>
      <c r="K26" s="18"/>
      <c r="L26" s="83">
        <f>IF(L$25=$AB$25,1,IF(L$25=$AC$25,2,IF(L$25=$AD$25,3,IF(L$25=$AE$25,4,IF(L$25=$AF$25,5,"")))))</f>
        <v>4</v>
      </c>
      <c r="M26" s="18"/>
      <c r="N26" s="18"/>
      <c r="O26" s="83">
        <f>IF(O$25=$AB$25,1,IF(O$25=$AC$25,2,IF(O$25=$AD$25,3,IF(O$25=$AE$25,4,IF(O$25=$AF$25,5,"")))))</f>
        <v>2</v>
      </c>
      <c r="P26" s="18"/>
      <c r="Q26" s="18"/>
      <c r="R26" s="83" t="str">
        <f>IF(R$25=$AB$25,1,IF(R$25=$AC$25,2,IF(R$25=$AD$25,3,IF(R$25=$AE$25,4,IF(R$25=$AF$25,5,"")))))</f>
        <v/>
      </c>
      <c r="S26" s="18"/>
      <c r="T26" s="18"/>
      <c r="U26" s="83" t="str">
        <f>IF(U$25=$AB$25,1,IF(U$25=$AC$25,2,IF(U$25=$AD$25,3,IF(U$25=$AE$25,4,IF(U$25=$AF$25,5,"")))))</f>
        <v/>
      </c>
      <c r="V26" s="18"/>
      <c r="X26" s="284"/>
      <c r="Z26" s="28"/>
      <c r="AA26" s="69"/>
      <c r="AB26" s="18"/>
      <c r="AC26" s="18"/>
      <c r="AD26" s="18"/>
      <c r="AE26" s="18"/>
      <c r="AF26" s="18"/>
      <c r="AG26" s="114"/>
      <c r="AH26" s="114"/>
      <c r="AI26" s="116"/>
    </row>
    <row r="27" spans="1:35" ht="15" customHeight="1" x14ac:dyDescent="0.25">
      <c r="C27" s="69"/>
      <c r="D27" s="69"/>
      <c r="E27" s="285" t="s">
        <v>203</v>
      </c>
      <c r="F27" s="286"/>
      <c r="G27" s="69"/>
      <c r="H27" s="69"/>
      <c r="I27" s="119">
        <f>IF(I$26=1,$AB$27,IF(I$26=2,$AC$27,IF(I$26=3,$AD$27,IF(I$26=4,$AE$27,IF(I$26=5,$AF$27,"Bauweise wählen")))))</f>
        <v>0.8</v>
      </c>
      <c r="J27" s="39"/>
      <c r="K27" s="39"/>
      <c r="L27" s="119">
        <f>IF(L$26=1,$AB$27,IF(L$26=2,$AC$27,IF(L$26=3,$AD$27,IF(L$26=4,$AE$27,IF(L$26=5,$AF$27,"Bauweise wählen")))))</f>
        <v>1</v>
      </c>
      <c r="M27" s="39"/>
      <c r="N27" s="39"/>
      <c r="O27" s="119">
        <f>IF(O$26=1,$AB$27,IF(O$26=2,$AC$27,IF(O$26=3,$AD$27,IF(O$26=4,$AE$27,IF(O$26=5,$AF$27,"Bauweise wählen")))))</f>
        <v>0.8</v>
      </c>
      <c r="P27" s="39"/>
      <c r="Q27" s="39"/>
      <c r="R27" s="119" t="str">
        <f>IF(R$26=1,$AB$27,IF(R$26=2,$AC$27,IF(R$26=3,$AD$27,IF(R$26=4,$AE$27,IF(R$26=5,$AF$27,"Bauweise wählen")))))</f>
        <v>Bauweise wählen</v>
      </c>
      <c r="S27" s="39"/>
      <c r="T27" s="39"/>
      <c r="U27" s="119" t="str">
        <f>IF(U$26=1,$AB$27,IF(U$26=2,$AC$27,IF(U$26=3,$AD$27,IF(U$26=4,$AE$27,IF(U$26=5,$AF$27,"Bauweise wählen")))))</f>
        <v>Bauweise wählen</v>
      </c>
      <c r="V27" s="39"/>
      <c r="X27" s="283" t="s">
        <v>224</v>
      </c>
      <c r="Z27" s="28"/>
      <c r="AA27" s="123" t="s">
        <v>203</v>
      </c>
      <c r="AB27" s="22">
        <v>0.9</v>
      </c>
      <c r="AC27" s="22">
        <v>0.8</v>
      </c>
      <c r="AD27" s="22">
        <v>0.8</v>
      </c>
      <c r="AE27" s="22">
        <v>1</v>
      </c>
      <c r="AF27" s="22">
        <v>0.65</v>
      </c>
    </row>
    <row r="28" spans="1:35" ht="15" customHeight="1" x14ac:dyDescent="0.25">
      <c r="C28" s="69"/>
      <c r="D28" s="69"/>
      <c r="E28" s="289" t="s">
        <v>208</v>
      </c>
      <c r="F28" s="290"/>
      <c r="G28" s="69"/>
      <c r="H28" s="69"/>
      <c r="I28" s="119">
        <f>IF(I$26=1,$AB$28,I$27)</f>
        <v>0.8</v>
      </c>
      <c r="J28" s="39"/>
      <c r="K28" s="39"/>
      <c r="L28" s="119">
        <f>IF(L$26=1,$AB$28,L$27)</f>
        <v>1</v>
      </c>
      <c r="M28" s="39"/>
      <c r="N28" s="39"/>
      <c r="O28" s="119">
        <f>IF(O$26=1,$AB$28,O$27)</f>
        <v>0.8</v>
      </c>
      <c r="P28" s="39"/>
      <c r="Q28" s="39"/>
      <c r="R28" s="119" t="str">
        <f>IF(R$26=1,$AB$28,R$27)</f>
        <v>Bauweise wählen</v>
      </c>
      <c r="S28" s="39"/>
      <c r="T28" s="39"/>
      <c r="U28" s="119" t="str">
        <f>IF(U$26=1,$AB$28,U$27)</f>
        <v>Bauweise wählen</v>
      </c>
      <c r="V28" s="39"/>
      <c r="X28" s="283"/>
      <c r="Z28" s="28"/>
      <c r="AA28" s="123" t="s">
        <v>208</v>
      </c>
      <c r="AB28" s="22">
        <v>0.95</v>
      </c>
      <c r="AC28" s="124" t="s">
        <v>219</v>
      </c>
      <c r="AD28" s="124" t="s">
        <v>219</v>
      </c>
      <c r="AE28" s="124" t="s">
        <v>219</v>
      </c>
      <c r="AF28" s="124" t="s">
        <v>219</v>
      </c>
    </row>
    <row r="29" spans="1:35" ht="15" customHeight="1" x14ac:dyDescent="0.25">
      <c r="C29" s="69"/>
      <c r="D29" s="69"/>
      <c r="E29" s="46"/>
      <c r="F29" s="47"/>
      <c r="G29" s="69"/>
      <c r="H29" s="69"/>
      <c r="I29" s="39"/>
      <c r="J29" s="39"/>
      <c r="K29" s="39"/>
      <c r="L29" s="39"/>
      <c r="M29" s="39"/>
      <c r="N29" s="39"/>
      <c r="O29" s="39"/>
      <c r="P29" s="39"/>
      <c r="Q29" s="39"/>
      <c r="R29" s="39"/>
      <c r="S29" s="39"/>
      <c r="T29" s="39"/>
      <c r="U29" s="39"/>
      <c r="V29" s="39"/>
      <c r="X29" s="283"/>
      <c r="Z29" s="28"/>
      <c r="AA29" s="46"/>
      <c r="AB29" s="18"/>
      <c r="AC29" s="18"/>
      <c r="AD29" s="18"/>
      <c r="AE29" s="18"/>
      <c r="AF29" s="18"/>
    </row>
    <row r="30" spans="1:35" ht="15" customHeight="1" x14ac:dyDescent="0.25">
      <c r="C30" s="69"/>
      <c r="D30" s="69"/>
      <c r="E30" s="287" t="s">
        <v>202</v>
      </c>
      <c r="F30" s="288"/>
      <c r="G30" s="69"/>
      <c r="H30" s="69"/>
      <c r="I30" s="119">
        <f>IF(I$26=1,$AB$30,IF(I$26=2,$AC$30,IF(I$26=3,$AD$30,IF(I$26=4,$AE$30,IF(I$26=5,$AF$30,"Bauweise wählen")))))</f>
        <v>0.8</v>
      </c>
      <c r="J30" s="39"/>
      <c r="K30" s="39"/>
      <c r="L30" s="119">
        <f>IF(L$26=1,$AB$30,IF(L$26=2,$AC$30,IF(L$26=3,$AD$30,IF(L$26=4,$AE$30,IF(L$26=5,$AF$30,"Bauweise wählen")))))</f>
        <v>0.95</v>
      </c>
      <c r="M30" s="39"/>
      <c r="N30" s="39"/>
      <c r="O30" s="119">
        <f>IF(O$26=1,$AB$30,IF(O$26=2,$AC$30,IF(O$26=3,$AD$30,IF(O$26=4,$AE$30,IF(O$26=5,$AF$30,"Bauweise wählen")))))</f>
        <v>0.8</v>
      </c>
      <c r="P30" s="39"/>
      <c r="Q30" s="39"/>
      <c r="R30" s="119" t="str">
        <f>IF(R$26=1,$AB$30,IF(R$26=2,$AC$30,IF(R$26=3,$AD$30,IF(R$26=4,$AE$30,IF(R$26=5,$AF$30,"Bauweise wählen")))))</f>
        <v>Bauweise wählen</v>
      </c>
      <c r="S30" s="39"/>
      <c r="T30" s="39"/>
      <c r="U30" s="119" t="str">
        <f>IF(U$26=1,$AB$30,IF(U$26=2,$AC$30,IF(U$26=3,$AD$30,IF(U$26=4,$AE$30,IF(U$26=5,$AF$30,"Bauweise wählen")))))</f>
        <v>Bauweise wählen</v>
      </c>
      <c r="V30" s="39"/>
      <c r="X30" s="283"/>
      <c r="Z30" s="28"/>
      <c r="AA30" s="123" t="s">
        <v>202</v>
      </c>
      <c r="AB30" s="22">
        <v>0.8</v>
      </c>
      <c r="AC30" s="22">
        <v>0.8</v>
      </c>
      <c r="AD30" s="22">
        <v>0.9</v>
      </c>
      <c r="AE30" s="22">
        <v>0.95</v>
      </c>
      <c r="AF30" s="22">
        <v>0.9</v>
      </c>
    </row>
    <row r="31" spans="1:35" ht="15" customHeight="1" x14ac:dyDescent="0.25">
      <c r="C31" s="69"/>
      <c r="D31" s="69"/>
      <c r="E31" s="46"/>
      <c r="F31" s="47"/>
      <c r="G31" s="69"/>
      <c r="H31" s="69"/>
      <c r="I31" s="39"/>
      <c r="J31" s="39"/>
      <c r="K31" s="39"/>
      <c r="L31" s="39"/>
      <c r="M31" s="39"/>
      <c r="N31" s="39"/>
      <c r="O31" s="39"/>
      <c r="P31" s="39"/>
      <c r="Q31" s="39"/>
      <c r="R31" s="39"/>
      <c r="S31" s="39"/>
      <c r="T31" s="39"/>
      <c r="U31" s="39"/>
      <c r="V31" s="39"/>
      <c r="X31" s="283"/>
      <c r="Z31" s="28"/>
      <c r="AA31" s="46"/>
      <c r="AB31" s="18"/>
      <c r="AC31" s="18"/>
      <c r="AD31" s="18"/>
      <c r="AE31" s="18"/>
      <c r="AF31" s="18"/>
    </row>
    <row r="32" spans="1:35" ht="15" customHeight="1" x14ac:dyDescent="0.25">
      <c r="C32" s="69"/>
      <c r="D32" s="69"/>
      <c r="E32" s="287" t="s">
        <v>204</v>
      </c>
      <c r="F32" s="288"/>
      <c r="G32" s="69"/>
      <c r="H32" s="69"/>
      <c r="I32" s="119">
        <f>IF(I$26=1,$AB$32,IF(I$26=2,$AC$32,IF(I$26=3,$AD$32,IF(I$26=4,$AE$32,IF(I$26=5,$AF$32,"Bauweise wählen")))))</f>
        <v>0.9</v>
      </c>
      <c r="J32" s="39"/>
      <c r="K32" s="39"/>
      <c r="L32" s="119">
        <f>IF(L$26=1,$AB$32,IF(L$26=2,$AC$32,IF(L$26=3,$AD$32,IF(L$26=4,$AE$32,IF(L$26=5,$AF$32,"Bauweise wählen")))))</f>
        <v>0.9</v>
      </c>
      <c r="M32" s="39"/>
      <c r="N32" s="39"/>
      <c r="O32" s="119">
        <f>IF(O$26=1,$AB$32,IF(O$26=2,$AC$32,IF(O$26=3,$AD$32,IF(O$26=4,$AE$32,IF(O$26=5,$AF$32,"Bauweise wählen")))))</f>
        <v>0.9</v>
      </c>
      <c r="P32" s="39"/>
      <c r="Q32" s="39"/>
      <c r="R32" s="119" t="str">
        <f>IF(R$26=1,$AB$32,IF(R$26=2,$AC$32,IF(R$26=3,$AD$32,IF(R$26=4,$AE$32,IF(R$26=5,$AF$32,"Bauweise wählen")))))</f>
        <v>Bauweise wählen</v>
      </c>
      <c r="S32" s="39"/>
      <c r="T32" s="39"/>
      <c r="U32" s="119" t="str">
        <f>IF(U$26=1,$AB$32,IF(U$26=2,$AC$32,IF(U$26=3,$AD$32,IF(U$26=4,$AE$32,IF(U$26=5,$AF$32,"Bauweise wählen")))))</f>
        <v>Bauweise wählen</v>
      </c>
      <c r="V32" s="39"/>
      <c r="X32" s="283"/>
      <c r="Z32" s="28"/>
      <c r="AA32" s="123" t="s">
        <v>204</v>
      </c>
      <c r="AB32" s="124">
        <v>1</v>
      </c>
      <c r="AC32" s="22">
        <v>0.9</v>
      </c>
      <c r="AD32" s="22">
        <v>0.9</v>
      </c>
      <c r="AE32" s="22">
        <v>0.9</v>
      </c>
      <c r="AF32" s="22">
        <v>0.9</v>
      </c>
    </row>
    <row r="33" spans="3:35" ht="15" customHeight="1" x14ac:dyDescent="0.25">
      <c r="C33" s="69"/>
      <c r="D33" s="69"/>
      <c r="E33" s="46"/>
      <c r="F33" s="47"/>
      <c r="G33" s="69"/>
      <c r="H33" s="69"/>
      <c r="I33" s="39"/>
      <c r="J33" s="39"/>
      <c r="K33" s="39"/>
      <c r="L33" s="39"/>
      <c r="M33" s="39"/>
      <c r="N33" s="39"/>
      <c r="O33" s="39"/>
      <c r="P33" s="39"/>
      <c r="Q33" s="39"/>
      <c r="R33" s="39"/>
      <c r="S33" s="39"/>
      <c r="T33" s="39"/>
      <c r="U33" s="39"/>
      <c r="V33" s="39"/>
      <c r="X33" s="283"/>
      <c r="Z33" s="28"/>
      <c r="AA33" s="69"/>
      <c r="AB33" s="18"/>
      <c r="AC33" s="18"/>
      <c r="AD33" s="18"/>
      <c r="AE33" s="18"/>
      <c r="AF33" s="18"/>
    </row>
    <row r="34" spans="3:35" ht="30" customHeight="1" x14ac:dyDescent="0.25">
      <c r="C34" s="69"/>
      <c r="D34" s="69"/>
      <c r="E34" s="285" t="s">
        <v>209</v>
      </c>
      <c r="F34" s="286"/>
      <c r="G34" s="69"/>
      <c r="H34" s="69"/>
      <c r="I34" s="200" t="s">
        <v>211</v>
      </c>
      <c r="J34" s="39"/>
      <c r="K34" s="39"/>
      <c r="L34" s="200" t="s">
        <v>212</v>
      </c>
      <c r="M34" s="39"/>
      <c r="N34" s="39"/>
      <c r="O34" s="200" t="s">
        <v>211</v>
      </c>
      <c r="P34" s="39"/>
      <c r="Q34" s="39"/>
      <c r="R34" s="200" t="s">
        <v>175</v>
      </c>
      <c r="S34" s="39"/>
      <c r="T34" s="39"/>
      <c r="U34" s="200" t="s">
        <v>175</v>
      </c>
      <c r="V34" s="39"/>
      <c r="X34" s="283"/>
      <c r="Z34" s="28"/>
      <c r="AA34" s="74" t="s">
        <v>175</v>
      </c>
      <c r="AB34" s="41" t="s">
        <v>211</v>
      </c>
      <c r="AC34" s="37" t="s">
        <v>212</v>
      </c>
      <c r="AD34" s="41" t="s">
        <v>432</v>
      </c>
      <c r="AE34" s="18"/>
      <c r="AF34" s="18"/>
    </row>
    <row r="35" spans="3:35" ht="15" customHeight="1" x14ac:dyDescent="0.25">
      <c r="C35" s="69"/>
      <c r="D35" s="69"/>
      <c r="E35" s="265" t="s">
        <v>205</v>
      </c>
      <c r="F35" s="282"/>
      <c r="G35" s="69"/>
      <c r="H35" s="69"/>
      <c r="I35" s="119">
        <f>IF(AND(OR(I$26=1,I$26=2,I$26=3),I$37=1),$AB$35,IF(AND(OR(I$26=1,I$26=2,I$26=3),I$37=2),$AC$35,IF(AND(OR(I$26=1,I$26=2,I$26=3),I$37=3),$AD$35,IF(AND(OR(I$26=4,I$26=5),I$37=1),$AB$36,IF(AND(OR(I$26=4,I$26=5),I$37=2),$AC$36,IF(AND(OR(I$26=4,I$26=5),I$37=3),$AD$36,""))))))</f>
        <v>1</v>
      </c>
      <c r="J35" s="39"/>
      <c r="K35" s="39"/>
      <c r="L35" s="119">
        <f>IF(AND(OR(L$26=1,L$26=2,L$26=3),L$37=1),$AB$35,IF(AND(OR(L$26=1,L$26=2,L$26=3),L$37=2),$AC$35,IF(AND(OR(L$26=1,L$26=2,L$26=3),L$37=3),$AD$35,IF(AND(OR(L$26=4,L$26=5),L$37=1),$AB$36,IF(AND(OR(L$26=4,L$26=5),L$37=2),$AC$36,IF(AND(OR(L$26=4,L$26=5),L$37=3),$AD$36,""))))))</f>
        <v>0.95</v>
      </c>
      <c r="M35" s="39"/>
      <c r="N35" s="39"/>
      <c r="O35" s="119">
        <f>IF(AND(OR(O$26=1,O$26=2,O$26=3),O$37=1),$AB$35,IF(AND(OR(O$26=1,O$26=2,O$26=3),O$37=2),$AC$35,IF(AND(OR(O$26=1,O$26=2,O$26=3),O$37=3),$AD$35,IF(AND(OR(O$26=4,O$26=5),O$37=1),$AB$36,IF(AND(OR(O$26=4,O$26=5),O$37=2),$AC$36,IF(AND(OR(O$26=4,O$26=5),O$37=3),$AD$36,""))))))</f>
        <v>1</v>
      </c>
      <c r="P35" s="39"/>
      <c r="Q35" s="39"/>
      <c r="R35" s="119" t="str">
        <f>IF(AND(OR(R$26=1,R$26=2,R$26=3),R$37=1),$AB$35,IF(AND(OR(R$26=1,R$26=2,R$26=3),R$37=2),$AC$35,IF(AND(OR(R$26=1,R$26=2,R$26=3),R$37=3),$AD$35,IF(AND(OR(R$26=4,R$26=5),R$37=1),$AB$36,IF(AND(OR(R$26=4,R$26=5),R$37=2),$AC$36,IF(AND(OR(R$26=4,R$26=5),R$37=3),$AD$36,""))))))</f>
        <v/>
      </c>
      <c r="S35" s="39"/>
      <c r="T35" s="39"/>
      <c r="U35" s="119" t="str">
        <f>IF(AND(OR(U$26=1,U$26=2,U$26=3),U$37=1),$AB$35,IF(AND(OR(U$26=1,U$26=2,U$26=3),U$37=2),$AC$35,IF(AND(OR(U$26=1,U$26=2,U$26=3),U$37=3),$AD$35,IF(AND(OR(U$26=4,U$26=5),U$37=1),$AB$36,IF(AND(OR(U$26=4,U$26=5),U$37=2),$AC$36,IF(AND(OR(U$26=4,U$26=5),U$37=3),$AD$36,""))))))</f>
        <v/>
      </c>
      <c r="V35" s="39"/>
      <c r="X35" s="283"/>
      <c r="Z35" s="28"/>
      <c r="AA35" s="121" t="s">
        <v>217</v>
      </c>
      <c r="AB35" s="22">
        <v>1</v>
      </c>
      <c r="AC35" s="22">
        <v>0.9</v>
      </c>
      <c r="AD35" s="22">
        <v>0.8</v>
      </c>
      <c r="AE35" s="18"/>
      <c r="AF35" s="18"/>
    </row>
    <row r="36" spans="3:35" s="5" customFormat="1" ht="157.80000000000001" customHeight="1" x14ac:dyDescent="0.25">
      <c r="C36" s="28"/>
      <c r="D36" s="28"/>
      <c r="E36" s="265" t="s">
        <v>210</v>
      </c>
      <c r="F36" s="282"/>
      <c r="G36" s="28"/>
      <c r="H36" s="28"/>
      <c r="I36" s="204"/>
      <c r="J36" s="18"/>
      <c r="K36" s="18"/>
      <c r="L36" s="204"/>
      <c r="M36" s="18"/>
      <c r="N36" s="18"/>
      <c r="O36" s="204"/>
      <c r="P36" s="18"/>
      <c r="Q36" s="18"/>
      <c r="R36" s="204"/>
      <c r="S36" s="18"/>
      <c r="T36" s="18"/>
      <c r="U36" s="208"/>
      <c r="V36" s="18"/>
      <c r="X36" s="283"/>
      <c r="Z36" s="28"/>
      <c r="AA36" s="122" t="s">
        <v>216</v>
      </c>
      <c r="AB36" s="22">
        <v>1</v>
      </c>
      <c r="AC36" s="22">
        <v>0.95</v>
      </c>
      <c r="AD36" s="22">
        <v>0.9</v>
      </c>
      <c r="AE36" s="18"/>
      <c r="AF36" s="18"/>
      <c r="AI36" s="7"/>
    </row>
    <row r="37" spans="3:35" ht="15" customHeight="1" x14ac:dyDescent="0.25">
      <c r="C37" s="69"/>
      <c r="D37" s="69"/>
      <c r="E37" s="69"/>
      <c r="F37" s="69"/>
      <c r="G37" s="69"/>
      <c r="H37" s="69"/>
      <c r="I37" s="120">
        <f>IF(I$34=$AB$34,1,IF(I$34=$AC$34,2,IF(I$34=$AD$34,3,"")))</f>
        <v>1</v>
      </c>
      <c r="J37" s="39"/>
      <c r="K37" s="39"/>
      <c r="L37" s="120">
        <f>IF(L$34=$AB$34,1,IF(L$34=$AC$34,2,IF(L$34=$AD$34,3,"")))</f>
        <v>2</v>
      </c>
      <c r="M37" s="39"/>
      <c r="N37" s="39"/>
      <c r="O37" s="120">
        <f>IF(O$34=$AB$34,1,IF(O$34=$AC$34,2,IF(O$34=$AD$34,3,"")))</f>
        <v>1</v>
      </c>
      <c r="P37" s="39"/>
      <c r="Q37" s="39"/>
      <c r="R37" s="120" t="str">
        <f>IF(R$34=$AB$34,1,IF(R$34=$AC$34,2,IF(R$34=$AD$34,3,"")))</f>
        <v/>
      </c>
      <c r="S37" s="39"/>
      <c r="T37" s="39"/>
      <c r="U37" s="120" t="str">
        <f>IF(U$34=$AB$34,1,IF(U$34=$AC$34,2,IF(U$34=$AD$34,3,"")))</f>
        <v/>
      </c>
      <c r="V37" s="39"/>
      <c r="X37" s="91" t="s">
        <v>44</v>
      </c>
      <c r="Z37" s="28"/>
      <c r="AA37" s="69"/>
      <c r="AB37" s="28"/>
      <c r="AC37" s="28"/>
      <c r="AD37" s="28"/>
      <c r="AE37" s="28"/>
      <c r="AF37" s="28"/>
    </row>
    <row r="38" spans="3:35" x14ac:dyDescent="0.25">
      <c r="X38" s="51"/>
    </row>
    <row r="39" spans="3:35" x14ac:dyDescent="0.25">
      <c r="I39" s="54"/>
      <c r="X39" s="51"/>
    </row>
    <row r="40" spans="3:35" x14ac:dyDescent="0.25">
      <c r="X40" s="51"/>
    </row>
    <row r="41" spans="3:35" x14ac:dyDescent="0.25">
      <c r="X41" s="51"/>
    </row>
    <row r="42" spans="3:35" x14ac:dyDescent="0.25">
      <c r="I42" s="1"/>
      <c r="X42" s="51"/>
    </row>
    <row r="43" spans="3:35" x14ac:dyDescent="0.25">
      <c r="I43" s="1"/>
      <c r="X43" s="51"/>
    </row>
  </sheetData>
  <sheetProtection algorithmName="SHA-512" hashValue="zvqiI6RWopxyamOTJ/4z93xxOayZFiY7zpBw79hjXGSSc/jOnTcp2jZSQ0414MDm1CsBQb8y65GncJhXCtP9bw==" saltValue="S12r0lxYg1pgdXcp5bYpEw==" spinCount="100000" sheet="1" objects="1" scenarios="1" formatRows="0"/>
  <mergeCells count="20">
    <mergeCell ref="E12:F12"/>
    <mergeCell ref="E35:F35"/>
    <mergeCell ref="E34:F34"/>
    <mergeCell ref="F23:H23"/>
    <mergeCell ref="A17:V17"/>
    <mergeCell ref="B19:V19"/>
    <mergeCell ref="X27:X36"/>
    <mergeCell ref="E24:F24"/>
    <mergeCell ref="E36:F36"/>
    <mergeCell ref="X25:X26"/>
    <mergeCell ref="E25:F25"/>
    <mergeCell ref="E27:F27"/>
    <mergeCell ref="E30:F30"/>
    <mergeCell ref="E32:F32"/>
    <mergeCell ref="E28:F28"/>
    <mergeCell ref="A3:D3"/>
    <mergeCell ref="A5:V5"/>
    <mergeCell ref="E11:F11"/>
    <mergeCell ref="B7:V7"/>
    <mergeCell ref="C9:F9"/>
  </mergeCells>
  <conditionalFormatting sqref="I12 I23:I36">
    <cfRule type="expression" dxfId="1751" priority="46">
      <formula>ISBLANK($I$11)=TRUE</formula>
    </cfRule>
  </conditionalFormatting>
  <conditionalFormatting sqref="I11:U12 H10:I10">
    <cfRule type="cellIs" dxfId="1750" priority="47" operator="equal">
      <formula>"mässig"</formula>
    </cfRule>
    <cfRule type="cellIs" dxfId="1749" priority="48" operator="equal">
      <formula>"gut"</formula>
    </cfRule>
    <cfRule type="cellIs" dxfId="1748" priority="49" operator="equal">
      <formula>"schlecht"</formula>
    </cfRule>
  </conditionalFormatting>
  <conditionalFormatting sqref="I23:V24 I25:K26 H27:K37 L25:V37 H1:V4 H6:V6 H8:V9 V10:V12 H13:V16 H18:V18 H20:V22 H38:V1048576">
    <cfRule type="cellIs" dxfId="1747" priority="2609" operator="equal">
      <formula>"mässig"</formula>
    </cfRule>
    <cfRule type="cellIs" dxfId="1746" priority="2610" operator="equal">
      <formula>"gut"</formula>
    </cfRule>
    <cfRule type="cellIs" dxfId="1745" priority="2611" operator="equal">
      <formula>"schlecht"</formula>
    </cfRule>
  </conditionalFormatting>
  <conditionalFormatting sqref="L12 L23:L36">
    <cfRule type="expression" dxfId="1744" priority="45">
      <formula>ISBLANK($L$11)=TRUE</formula>
    </cfRule>
  </conditionalFormatting>
  <conditionalFormatting sqref="O12 O23:O36">
    <cfRule type="expression" dxfId="1743" priority="44">
      <formula>ISBLANK($O$11)=TRUE</formula>
    </cfRule>
  </conditionalFormatting>
  <conditionalFormatting sqref="R12 R23:R36">
    <cfRule type="expression" dxfId="1742" priority="43">
      <formula>ISBLANK($R$11)=TRUE</formula>
    </cfRule>
  </conditionalFormatting>
  <conditionalFormatting sqref="U12 U23:U36">
    <cfRule type="expression" dxfId="1741" priority="42">
      <formula>ISBLANK($U$11)=TRUE</formula>
    </cfRule>
  </conditionalFormatting>
  <dataValidations count="3">
    <dataValidation type="list" allowBlank="1" showInputMessage="1" showErrorMessage="1" sqref="I34 R34 L34 O34 U34" xr:uid="{77FBD549-E98A-4BC7-AC50-5C44B971CC69}">
      <formula1>$AA$34:$AD$34</formula1>
    </dataValidation>
    <dataValidation type="list" allowBlank="1" showInputMessage="1" showErrorMessage="1" sqref="I24 L24 O24 R24 U24" xr:uid="{EBCE1D35-3A4F-4A7E-AFCF-151AB59F656C}">
      <formula1>"Bitte wählen, nein, ja"</formula1>
    </dataValidation>
    <dataValidation type="list" allowBlank="1" showInputMessage="1" showErrorMessage="1" sqref="I25 L25 O25 R25 U25" xr:uid="{E712769C-8F1E-41E7-95BA-914FABD81A96}">
      <formula1>$AA$25:$AF$25</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6085BF"/>
  </sheetPr>
  <dimension ref="A1:AX345"/>
  <sheetViews>
    <sheetView defaultGridColor="0" colorId="9" zoomScale="70" zoomScaleNormal="70" zoomScaleSheetLayoutView="115" zoomScalePageLayoutView="85" workbookViewId="0">
      <pane xSplit="7" topLeftCell="H1" activePane="topRight" state="frozen"/>
      <selection pane="topRight"/>
    </sheetView>
  </sheetViews>
  <sheetFormatPr baseColWidth="10" defaultColWidth="11.44140625" defaultRowHeight="13.2" x14ac:dyDescent="0.25"/>
  <cols>
    <col min="1" max="2" width="3.6640625" style="8" customWidth="1"/>
    <col min="3" max="4" width="3.5546875" style="8" customWidth="1"/>
    <col min="5" max="5" width="19" style="8" customWidth="1"/>
    <col min="6" max="6" width="35" style="8" customWidth="1"/>
    <col min="7" max="8" width="12.21875" style="8" customWidth="1"/>
    <col min="9" max="9" width="26.6640625" style="8" customWidth="1"/>
    <col min="10" max="10" width="11.6640625" style="16" customWidth="1"/>
    <col min="11" max="11" width="19.33203125" style="16" customWidth="1"/>
    <col min="12" max="12" width="1.6640625" style="16" customWidth="1"/>
    <col min="13" max="13" width="26.6640625" style="16" customWidth="1"/>
    <col min="14" max="14" width="11.6640625" style="16" customWidth="1"/>
    <col min="15" max="15" width="19.33203125" style="16" customWidth="1"/>
    <col min="16" max="16" width="1.6640625" style="16" customWidth="1"/>
    <col min="17" max="17" width="26.6640625" style="16" customWidth="1"/>
    <col min="18" max="18" width="11.6640625" style="16" customWidth="1"/>
    <col min="19" max="19" width="19.33203125" style="16" customWidth="1"/>
    <col min="20" max="20" width="1.6640625" style="16" customWidth="1"/>
    <col min="21" max="21" width="26.6640625" style="16" customWidth="1"/>
    <col min="22" max="22" width="11.6640625" style="16" customWidth="1"/>
    <col min="23" max="23" width="19.33203125" style="16" customWidth="1"/>
    <col min="24" max="24" width="1.6640625" style="16" customWidth="1"/>
    <col min="25" max="25" width="26.6640625" style="16" customWidth="1"/>
    <col min="26" max="26" width="11.6640625" style="16" customWidth="1"/>
    <col min="27" max="27" width="19.33203125" style="16" customWidth="1"/>
    <col min="28" max="28" width="8.5546875" style="16" customWidth="1"/>
    <col min="29" max="29" width="39.109375" style="8" customWidth="1"/>
    <col min="30" max="30" width="5.109375" style="52" hidden="1" customWidth="1"/>
    <col min="31" max="31" width="6.88671875" style="8" hidden="1" customWidth="1"/>
    <col min="32" max="32" width="3" style="5" hidden="1" customWidth="1"/>
    <col min="33" max="33" width="19.6640625" style="8" hidden="1" customWidth="1"/>
    <col min="34" max="34" width="27.33203125" style="5" hidden="1" customWidth="1"/>
    <col min="35" max="38" width="43.33203125" style="5" hidden="1" customWidth="1"/>
    <col min="39" max="39" width="10.6640625" style="5" hidden="1" customWidth="1"/>
    <col min="40" max="40" width="38.5546875" style="5" hidden="1" customWidth="1"/>
    <col min="41" max="41" width="27.44140625" style="7" hidden="1" customWidth="1"/>
    <col min="42" max="42" width="27.44140625" style="8" hidden="1" customWidth="1"/>
    <col min="43" max="43" width="2.88671875" style="8" hidden="1" customWidth="1"/>
    <col min="44" max="44" width="27.44140625" style="8" hidden="1" customWidth="1"/>
    <col min="45" max="45" width="2.88671875" style="8" hidden="1" customWidth="1"/>
    <col min="46" max="46" width="27.44140625" style="8" hidden="1" customWidth="1"/>
    <col min="47" max="47" width="2.88671875" style="8" hidden="1" customWidth="1"/>
    <col min="48" max="48" width="22.88671875" style="8" hidden="1" customWidth="1"/>
    <col min="49" max="49" width="3.6640625" style="8" hidden="1" customWidth="1"/>
    <col min="50" max="50" width="13.33203125" style="8" hidden="1" customWidth="1"/>
    <col min="51" max="16384" width="11.44140625" style="8"/>
  </cols>
  <sheetData>
    <row r="1" spans="1:45" ht="25.5" customHeight="1" x14ac:dyDescent="0.25">
      <c r="A1" s="44" t="s">
        <v>341</v>
      </c>
      <c r="B1" s="44"/>
      <c r="AF1" s="14"/>
      <c r="AH1" s="14"/>
    </row>
    <row r="2" spans="1:45" ht="15" customHeight="1" x14ac:dyDescent="0.25">
      <c r="A2" s="44"/>
      <c r="B2" s="44"/>
      <c r="AF2" s="14"/>
      <c r="AH2" s="14"/>
    </row>
    <row r="3" spans="1:45" ht="15" customHeight="1" x14ac:dyDescent="0.25">
      <c r="A3" s="238" t="s">
        <v>240</v>
      </c>
      <c r="B3" s="238"/>
      <c r="C3" s="238"/>
      <c r="D3" s="238"/>
      <c r="AF3" s="14"/>
      <c r="AH3" s="14"/>
    </row>
    <row r="4" spans="1:45" ht="15" customHeight="1" x14ac:dyDescent="0.25">
      <c r="A4" s="44"/>
      <c r="B4" s="44"/>
      <c r="AF4" s="14"/>
      <c r="AH4" s="14"/>
    </row>
    <row r="5" spans="1:45" s="5" customFormat="1" ht="15" customHeight="1" x14ac:dyDescent="0.25">
      <c r="A5" s="342" t="s">
        <v>343</v>
      </c>
      <c r="B5" s="342"/>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D5" s="51"/>
      <c r="AO5" s="4"/>
      <c r="AP5" s="4"/>
      <c r="AQ5" s="4"/>
      <c r="AR5" s="4"/>
      <c r="AS5" s="4"/>
    </row>
    <row r="6" spans="1:45" s="5" customFormat="1" ht="15" customHeight="1" x14ac:dyDescent="0.25">
      <c r="C6" s="10"/>
      <c r="D6" s="10"/>
      <c r="E6" s="10"/>
      <c r="F6" s="10"/>
      <c r="J6" s="1"/>
      <c r="K6" s="1"/>
      <c r="L6" s="1"/>
      <c r="M6" s="1"/>
      <c r="N6" s="1"/>
      <c r="O6" s="1"/>
      <c r="P6" s="1"/>
      <c r="Q6" s="1"/>
      <c r="R6" s="1"/>
      <c r="S6" s="1"/>
      <c r="T6" s="1"/>
      <c r="U6" s="1"/>
      <c r="V6" s="1"/>
      <c r="W6" s="1"/>
      <c r="X6" s="1"/>
      <c r="Y6" s="1"/>
      <c r="Z6" s="1"/>
      <c r="AA6" s="1"/>
      <c r="AB6" s="1"/>
      <c r="AD6" s="51"/>
      <c r="AO6" s="4"/>
      <c r="AP6" s="4"/>
      <c r="AQ6" s="4"/>
      <c r="AR6" s="4"/>
      <c r="AS6" s="4"/>
    </row>
    <row r="7" spans="1:45" s="5" customFormat="1" ht="15" customHeight="1" x14ac:dyDescent="0.25">
      <c r="C7" s="10"/>
      <c r="D7" s="10"/>
      <c r="E7" s="10"/>
      <c r="F7" s="10"/>
      <c r="J7" s="1"/>
      <c r="K7" s="1"/>
      <c r="L7" s="1"/>
      <c r="M7" s="1"/>
      <c r="N7" s="1"/>
      <c r="O7" s="1"/>
      <c r="P7" s="1"/>
      <c r="Q7" s="1"/>
      <c r="R7" s="1"/>
      <c r="S7" s="1"/>
      <c r="T7" s="1"/>
      <c r="U7" s="1"/>
      <c r="V7" s="1"/>
      <c r="W7" s="1"/>
      <c r="X7" s="1"/>
      <c r="Y7" s="1"/>
      <c r="Z7" s="1"/>
      <c r="AA7" s="1"/>
      <c r="AB7" s="1"/>
      <c r="AD7" s="51"/>
      <c r="AO7" s="4"/>
      <c r="AP7" s="4"/>
      <c r="AQ7" s="4"/>
      <c r="AR7" s="4"/>
      <c r="AS7" s="4"/>
    </row>
    <row r="8" spans="1:45" s="5" customFormat="1" ht="15" customHeight="1" x14ac:dyDescent="0.25">
      <c r="C8" s="21"/>
      <c r="D8" s="21"/>
      <c r="E8" s="21"/>
      <c r="F8" s="21"/>
      <c r="G8" s="29"/>
      <c r="H8" s="29"/>
      <c r="I8" s="29"/>
      <c r="J8" s="34"/>
      <c r="K8" s="34"/>
      <c r="L8" s="34"/>
      <c r="M8" s="34"/>
      <c r="N8" s="34"/>
      <c r="O8" s="34"/>
      <c r="P8" s="34"/>
      <c r="Q8" s="34"/>
      <c r="R8" s="34"/>
      <c r="S8" s="34"/>
      <c r="T8" s="34"/>
      <c r="U8" s="34"/>
      <c r="V8" s="34"/>
      <c r="W8" s="34"/>
      <c r="X8" s="34"/>
      <c r="Y8" s="34"/>
      <c r="Z8" s="34"/>
      <c r="AA8" s="34"/>
      <c r="AB8" s="34"/>
      <c r="AD8" s="51"/>
      <c r="AO8" s="4"/>
      <c r="AP8" s="4"/>
      <c r="AQ8" s="4"/>
      <c r="AR8" s="4"/>
      <c r="AS8" s="4"/>
    </row>
    <row r="9" spans="1:45" s="5" customFormat="1" ht="15" customHeight="1" x14ac:dyDescent="0.25">
      <c r="C9" s="29"/>
      <c r="D9" s="29"/>
      <c r="E9" s="29"/>
      <c r="F9" s="29"/>
      <c r="G9" s="34"/>
      <c r="H9" s="34"/>
      <c r="I9" s="34"/>
      <c r="J9" s="316" t="str">
        <f>IF(ISBLANK('(3) Variantenbewertung'!$I$11),"",'(3) Variantenbewertung'!$I$11)</f>
        <v>V1</v>
      </c>
      <c r="K9" s="316"/>
      <c r="L9" s="34"/>
      <c r="M9" s="34"/>
      <c r="N9" s="316" t="str">
        <f>IF(ISBLANK('(3) Variantenbewertung'!$L$11),"",'(3) Variantenbewertung'!$L$11)</f>
        <v>V2</v>
      </c>
      <c r="O9" s="316"/>
      <c r="P9" s="34"/>
      <c r="Q9" s="34"/>
      <c r="R9" s="316" t="str">
        <f>IF(ISBLANK('(3) Variantenbewertung'!$O$11),"",'(3) Variantenbewertung'!$O$11)</f>
        <v>V3</v>
      </c>
      <c r="S9" s="316"/>
      <c r="T9" s="81"/>
      <c r="U9" s="34"/>
      <c r="V9" s="316" t="str">
        <f>IF(ISBLANK('(3) Variantenbewertung'!$R$11),"",'(3) Variantenbewertung'!$R$11)</f>
        <v/>
      </c>
      <c r="W9" s="316"/>
      <c r="X9" s="34"/>
      <c r="Y9" s="34"/>
      <c r="Z9" s="316" t="str">
        <f>IF(ISBLANK('(3) Variantenbewertung'!$U$11),"",'(3) Variantenbewertung'!$U$11)</f>
        <v/>
      </c>
      <c r="AA9" s="316"/>
      <c r="AB9" s="34"/>
      <c r="AD9" s="51"/>
      <c r="AO9" s="4"/>
      <c r="AP9" s="4"/>
      <c r="AQ9" s="4"/>
      <c r="AR9" s="4"/>
      <c r="AS9" s="4"/>
    </row>
    <row r="10" spans="1:45" s="5" customFormat="1" ht="15" customHeight="1" x14ac:dyDescent="0.25">
      <c r="C10" s="29"/>
      <c r="D10" s="29"/>
      <c r="E10" s="29"/>
      <c r="F10" s="29"/>
      <c r="G10" s="15" t="s">
        <v>33</v>
      </c>
      <c r="H10" s="15" t="s">
        <v>499</v>
      </c>
      <c r="I10" s="34"/>
      <c r="J10" s="132" t="s">
        <v>221</v>
      </c>
      <c r="K10" s="133" t="s">
        <v>222</v>
      </c>
      <c r="L10" s="82"/>
      <c r="M10" s="24"/>
      <c r="N10" s="132" t="s">
        <v>221</v>
      </c>
      <c r="O10" s="133" t="s">
        <v>222</v>
      </c>
      <c r="P10" s="82"/>
      <c r="Q10" s="24"/>
      <c r="R10" s="132" t="s">
        <v>221</v>
      </c>
      <c r="S10" s="133" t="s">
        <v>222</v>
      </c>
      <c r="T10" s="82"/>
      <c r="U10" s="24"/>
      <c r="V10" s="132" t="s">
        <v>221</v>
      </c>
      <c r="W10" s="133" t="s">
        <v>222</v>
      </c>
      <c r="X10" s="82"/>
      <c r="Y10" s="24"/>
      <c r="Z10" s="132" t="s">
        <v>221</v>
      </c>
      <c r="AA10" s="133" t="s">
        <v>222</v>
      </c>
      <c r="AB10" s="24"/>
      <c r="AD10" s="51"/>
      <c r="AO10" s="4"/>
      <c r="AP10" s="4"/>
      <c r="AQ10" s="4"/>
      <c r="AR10" s="4"/>
      <c r="AS10" s="4"/>
    </row>
    <row r="11" spans="1:45" s="5" customFormat="1" ht="15" customHeight="1" x14ac:dyDescent="0.25">
      <c r="C11" s="29"/>
      <c r="D11" s="29"/>
      <c r="E11" s="343" t="str">
        <f>B25</f>
        <v>F1 Erreichbarkeit, Auffindbarkeit</v>
      </c>
      <c r="F11" s="343"/>
      <c r="G11" s="99">
        <v>0.4</v>
      </c>
      <c r="H11" s="15">
        <v>0.4</v>
      </c>
      <c r="I11" s="34"/>
      <c r="J11" s="41">
        <f>J89</f>
        <v>1</v>
      </c>
      <c r="K11" s="41">
        <f>K89</f>
        <v>1</v>
      </c>
      <c r="L11" s="34"/>
      <c r="M11" s="34"/>
      <c r="N11" s="41">
        <f>N89</f>
        <v>3</v>
      </c>
      <c r="O11" s="41">
        <f>O89</f>
        <v>1</v>
      </c>
      <c r="P11" s="34"/>
      <c r="Q11" s="34"/>
      <c r="R11" s="41">
        <f>R89</f>
        <v>1</v>
      </c>
      <c r="S11" s="41">
        <f>S89</f>
        <v>1</v>
      </c>
      <c r="T11" s="34"/>
      <c r="U11" s="34"/>
      <c r="V11" s="41" t="str">
        <f>V89</f>
        <v>-</v>
      </c>
      <c r="W11" s="41" t="str">
        <f>W89</f>
        <v>-</v>
      </c>
      <c r="X11" s="34"/>
      <c r="Y11" s="34"/>
      <c r="Z11" s="41" t="str">
        <f>Z89</f>
        <v>-</v>
      </c>
      <c r="AA11" s="41" t="str">
        <f>AA89</f>
        <v>-</v>
      </c>
      <c r="AB11" s="34"/>
      <c r="AD11" s="51"/>
      <c r="AO11" s="4"/>
      <c r="AP11" s="4"/>
      <c r="AQ11" s="4"/>
      <c r="AR11" s="4"/>
      <c r="AS11" s="4"/>
    </row>
    <row r="12" spans="1:45" s="5" customFormat="1" ht="15" customHeight="1" x14ac:dyDescent="0.25">
      <c r="C12" s="29"/>
      <c r="D12" s="29"/>
      <c r="E12" s="343" t="str">
        <f>B94</f>
        <v>F2 Dimensionierung (Passierbarkeit)</v>
      </c>
      <c r="F12" s="343"/>
      <c r="G12" s="99">
        <v>0.2</v>
      </c>
      <c r="H12" s="15">
        <v>0.2</v>
      </c>
      <c r="I12" s="34"/>
      <c r="J12" s="41">
        <f>J182</f>
        <v>1</v>
      </c>
      <c r="K12" s="41">
        <f>K182</f>
        <v>3</v>
      </c>
      <c r="L12" s="34"/>
      <c r="M12" s="34"/>
      <c r="N12" s="41">
        <f>N182</f>
        <v>1</v>
      </c>
      <c r="O12" s="41">
        <f>O182</f>
        <v>1</v>
      </c>
      <c r="P12" s="34"/>
      <c r="Q12" s="34"/>
      <c r="R12" s="41">
        <f>R182</f>
        <v>1</v>
      </c>
      <c r="S12" s="41">
        <f>S182</f>
        <v>1</v>
      </c>
      <c r="T12" s="34"/>
      <c r="U12" s="34"/>
      <c r="V12" s="41" t="str">
        <f>V182</f>
        <v>-</v>
      </c>
      <c r="W12" s="41" t="str">
        <f>W182</f>
        <v>-</v>
      </c>
      <c r="X12" s="34"/>
      <c r="Y12" s="34"/>
      <c r="Z12" s="41" t="str">
        <f>Z182</f>
        <v>-</v>
      </c>
      <c r="AA12" s="41" t="str">
        <f>AA182</f>
        <v>-</v>
      </c>
      <c r="AB12" s="34"/>
      <c r="AD12" s="51"/>
      <c r="AO12" s="4"/>
      <c r="AP12" s="4"/>
      <c r="AQ12" s="4"/>
      <c r="AR12" s="4"/>
      <c r="AS12" s="4"/>
    </row>
    <row r="13" spans="1:45" s="5" customFormat="1" ht="15" customHeight="1" x14ac:dyDescent="0.25">
      <c r="C13" s="29"/>
      <c r="D13" s="29"/>
      <c r="E13" s="343" t="str">
        <f>B187</f>
        <v>F3 Hydraulik (Passierbarkeit)</v>
      </c>
      <c r="F13" s="343"/>
      <c r="G13" s="99">
        <v>0.3</v>
      </c>
      <c r="H13" s="15">
        <v>0.3</v>
      </c>
      <c r="I13" s="34"/>
      <c r="J13" s="41">
        <f>J298</f>
        <v>3</v>
      </c>
      <c r="K13" s="41">
        <f>K298</f>
        <v>3</v>
      </c>
      <c r="L13" s="34"/>
      <c r="M13" s="34"/>
      <c r="N13" s="41">
        <f>N298</f>
        <v>2</v>
      </c>
      <c r="O13" s="41">
        <f>O298</f>
        <v>2</v>
      </c>
      <c r="P13" s="34"/>
      <c r="Q13" s="34"/>
      <c r="R13" s="41">
        <f>R298</f>
        <v>2</v>
      </c>
      <c r="S13" s="41">
        <f>S298</f>
        <v>2</v>
      </c>
      <c r="T13" s="34"/>
      <c r="U13" s="34"/>
      <c r="V13" s="41" t="str">
        <f>V298</f>
        <v>-</v>
      </c>
      <c r="W13" s="41" t="str">
        <f>W298</f>
        <v>-</v>
      </c>
      <c r="X13" s="34"/>
      <c r="Y13" s="34"/>
      <c r="Z13" s="41" t="str">
        <f>Z298</f>
        <v>-</v>
      </c>
      <c r="AA13" s="41" t="str">
        <f>AA298</f>
        <v>-</v>
      </c>
      <c r="AB13" s="34"/>
      <c r="AD13" s="51"/>
      <c r="AO13" s="4"/>
      <c r="AP13" s="4"/>
      <c r="AQ13" s="4"/>
      <c r="AR13" s="4"/>
      <c r="AS13" s="4"/>
    </row>
    <row r="14" spans="1:45" s="5" customFormat="1" ht="15" customHeight="1" x14ac:dyDescent="0.25">
      <c r="C14" s="29"/>
      <c r="D14" s="29"/>
      <c r="E14" s="343" t="str">
        <f>B303</f>
        <v>F4: Weiteres (Passierbarkeit)</v>
      </c>
      <c r="F14" s="343"/>
      <c r="G14" s="99">
        <v>0.1</v>
      </c>
      <c r="H14" s="15">
        <v>0.1</v>
      </c>
      <c r="I14" s="34"/>
      <c r="J14" s="41">
        <f>J344</f>
        <v>2</v>
      </c>
      <c r="K14" s="41">
        <f>K344</f>
        <v>2</v>
      </c>
      <c r="L14" s="34"/>
      <c r="M14" s="34"/>
      <c r="N14" s="41">
        <f>N344</f>
        <v>2</v>
      </c>
      <c r="O14" s="41">
        <f>O344</f>
        <v>2</v>
      </c>
      <c r="P14" s="34"/>
      <c r="Q14" s="34"/>
      <c r="R14" s="41">
        <f>R344</f>
        <v>3</v>
      </c>
      <c r="S14" s="41">
        <f>S344</f>
        <v>3</v>
      </c>
      <c r="T14" s="34"/>
      <c r="U14" s="34"/>
      <c r="V14" s="41" t="str">
        <f>V344</f>
        <v>-</v>
      </c>
      <c r="W14" s="41" t="str">
        <f>W344</f>
        <v>-</v>
      </c>
      <c r="X14" s="34"/>
      <c r="Y14" s="34"/>
      <c r="Z14" s="41" t="str">
        <f>Z344</f>
        <v>-</v>
      </c>
      <c r="AA14" s="41" t="str">
        <f>AA344</f>
        <v>-</v>
      </c>
      <c r="AB14" s="34"/>
      <c r="AD14" s="51"/>
      <c r="AO14" s="4"/>
      <c r="AP14" s="4"/>
      <c r="AQ14" s="4"/>
      <c r="AR14" s="4"/>
      <c r="AS14" s="4"/>
    </row>
    <row r="15" spans="1:45" s="5" customFormat="1" ht="15" customHeight="1" x14ac:dyDescent="0.25">
      <c r="C15" s="29"/>
      <c r="D15" s="29"/>
      <c r="E15" s="29"/>
      <c r="F15" s="29"/>
      <c r="G15" s="34"/>
      <c r="H15" s="34"/>
      <c r="I15" s="34"/>
      <c r="J15" s="34"/>
      <c r="K15" s="34"/>
      <c r="L15" s="34"/>
      <c r="M15" s="34"/>
      <c r="N15" s="34"/>
      <c r="O15" s="34"/>
      <c r="P15" s="34"/>
      <c r="Q15" s="34"/>
      <c r="R15" s="34"/>
      <c r="S15" s="34"/>
      <c r="T15" s="34"/>
      <c r="U15" s="34"/>
      <c r="V15" s="34"/>
      <c r="W15" s="34"/>
      <c r="X15" s="34"/>
      <c r="Y15" s="34"/>
      <c r="Z15" s="34"/>
      <c r="AA15" s="34"/>
      <c r="AB15" s="34"/>
      <c r="AD15" s="51"/>
      <c r="AO15" s="4"/>
      <c r="AP15" s="4"/>
      <c r="AQ15" s="4"/>
      <c r="AR15" s="4"/>
      <c r="AS15" s="4"/>
    </row>
    <row r="16" spans="1:45" s="5" customFormat="1" ht="15" customHeight="1" x14ac:dyDescent="0.25">
      <c r="C16" s="29"/>
      <c r="D16" s="29"/>
      <c r="E16" s="29"/>
      <c r="F16" s="42" t="s">
        <v>35</v>
      </c>
      <c r="G16" s="33">
        <f>IF(SUM(G11:G14)=1,SUM(G11:G14),"Gewichtung = 1!")</f>
        <v>1.0000000000000002</v>
      </c>
      <c r="H16" s="29"/>
      <c r="I16" s="42" t="s">
        <v>35</v>
      </c>
      <c r="J16" s="43">
        <f>IF(AND(COUNT(J11:J14)=4,ISNUMBER($G$16)),SUMPRODUCT($G$11:$G$14,J11:J14),"FEHLER")</f>
        <v>1.7</v>
      </c>
      <c r="K16" s="43">
        <f>IF(AND(COUNT(K11:K14)=4,ISNUMBER($G$16)),SUMPRODUCT($G$11:$G$14,K11:K14),"FEHLER")</f>
        <v>2.1</v>
      </c>
      <c r="L16" s="24"/>
      <c r="M16" s="34"/>
      <c r="N16" s="43">
        <f>IF(AND(COUNT(N11:N14)=4,ISNUMBER($G$16)),SUMPRODUCT($G$11:$G$14,N11:N14),"FEHLER")</f>
        <v>2.2000000000000002</v>
      </c>
      <c r="O16" s="43">
        <f>IF(AND(COUNT(O11:O14)=4,ISNUMBER($G$16)),SUMPRODUCT($G$11:$G$14,O11:O14),"FEHLER")</f>
        <v>1.4000000000000001</v>
      </c>
      <c r="P16" s="24"/>
      <c r="Q16" s="34"/>
      <c r="R16" s="43">
        <f>IF(AND(COUNT(R11:R14)=4,ISNUMBER($G$16)),SUMPRODUCT($G$11:$G$14,R11:R14),"FEHLER")</f>
        <v>1.5000000000000002</v>
      </c>
      <c r="S16" s="43">
        <f>IF(AND(COUNT(S11:S14)=4,ISNUMBER($G$16)),SUMPRODUCT($G$11:$G$14,S11:S14),"FEHLER")</f>
        <v>1.5000000000000002</v>
      </c>
      <c r="T16" s="24"/>
      <c r="U16" s="34"/>
      <c r="V16" s="43" t="str">
        <f>IF(AND(COUNT(V11:V14)=4,ISNUMBER($G$16)),SUMPRODUCT($G$11:$G$14,V11:V14),"FEHLER")</f>
        <v>FEHLER</v>
      </c>
      <c r="W16" s="43" t="str">
        <f>IF(AND(COUNT(W11:W14)=4,ISNUMBER($G$16)),SUMPRODUCT($G$11:$G$14,W11:W14),"FEHLER")</f>
        <v>FEHLER</v>
      </c>
      <c r="X16" s="24"/>
      <c r="Y16" s="34"/>
      <c r="Z16" s="43" t="str">
        <f>IF(AND(COUNT(Z11:Z14)=4,ISNUMBER($G$16)),SUMPRODUCT($G$11:$G$14,Z11:Z14),"FEHLER")</f>
        <v>FEHLER</v>
      </c>
      <c r="AA16" s="43" t="str">
        <f>IF(AND(COUNT(AA11:AA14)=4,ISNUMBER($G$16)),SUMPRODUCT($G$11:$G$14,AA11:AA14),"FEHLER")</f>
        <v>FEHLER</v>
      </c>
      <c r="AB16" s="42"/>
      <c r="AD16" s="51"/>
      <c r="AO16" s="4"/>
      <c r="AP16" s="4"/>
      <c r="AQ16" s="4"/>
      <c r="AR16" s="4"/>
      <c r="AS16" s="4"/>
    </row>
    <row r="17" spans="1:48" s="5" customFormat="1" ht="15" customHeight="1" x14ac:dyDescent="0.25">
      <c r="C17" s="29"/>
      <c r="D17" s="29"/>
      <c r="E17" s="29"/>
      <c r="F17" s="29"/>
      <c r="G17" s="29"/>
      <c r="H17" s="29"/>
      <c r="I17" s="29"/>
      <c r="J17" s="34"/>
      <c r="K17" s="34"/>
      <c r="L17" s="34"/>
      <c r="M17" s="34"/>
      <c r="N17" s="34"/>
      <c r="O17" s="34"/>
      <c r="P17" s="34"/>
      <c r="Q17" s="34"/>
      <c r="R17" s="34"/>
      <c r="S17" s="34"/>
      <c r="T17" s="34"/>
      <c r="U17" s="34"/>
      <c r="V17" s="34"/>
      <c r="W17" s="34"/>
      <c r="X17" s="34"/>
      <c r="Y17" s="34"/>
      <c r="Z17" s="34"/>
      <c r="AA17" s="34"/>
      <c r="AB17" s="34"/>
      <c r="AD17" s="51"/>
      <c r="AO17" s="4"/>
      <c r="AP17" s="4"/>
      <c r="AQ17" s="4"/>
      <c r="AR17" s="4"/>
      <c r="AS17" s="4"/>
    </row>
    <row r="18" spans="1:48" s="5" customFormat="1" ht="15" customHeight="1" x14ac:dyDescent="0.25">
      <c r="J18" s="1"/>
      <c r="K18" s="1"/>
      <c r="L18" s="1"/>
      <c r="M18" s="1"/>
      <c r="N18" s="1"/>
      <c r="O18" s="1"/>
      <c r="P18" s="1"/>
      <c r="Q18" s="1"/>
      <c r="R18" s="1"/>
      <c r="S18" s="1"/>
      <c r="T18" s="1"/>
      <c r="U18" s="1"/>
      <c r="V18" s="1"/>
      <c r="W18" s="1"/>
      <c r="X18" s="1"/>
      <c r="Y18" s="1"/>
      <c r="Z18" s="1"/>
      <c r="AA18" s="1"/>
      <c r="AB18" s="1"/>
      <c r="AD18" s="51"/>
      <c r="AO18" s="4"/>
      <c r="AP18" s="4"/>
      <c r="AQ18" s="4"/>
      <c r="AR18" s="4"/>
      <c r="AS18" s="4"/>
    </row>
    <row r="19" spans="1:48" s="5" customFormat="1" ht="15" customHeight="1" x14ac:dyDescent="0.25">
      <c r="J19" s="1"/>
      <c r="K19" s="1"/>
      <c r="L19" s="1"/>
      <c r="M19" s="1"/>
      <c r="N19" s="1"/>
      <c r="O19" s="1"/>
      <c r="P19" s="1"/>
      <c r="Q19" s="1"/>
      <c r="R19" s="1"/>
      <c r="S19" s="1"/>
      <c r="T19" s="1"/>
      <c r="U19" s="1"/>
      <c r="V19" s="1"/>
      <c r="W19" s="1"/>
      <c r="X19" s="1"/>
      <c r="Y19" s="1"/>
      <c r="Z19" s="1"/>
      <c r="AA19" s="1"/>
      <c r="AB19" s="1"/>
      <c r="AD19" s="51"/>
      <c r="AO19" s="4"/>
      <c r="AP19" s="4"/>
      <c r="AQ19" s="4"/>
      <c r="AR19" s="4"/>
      <c r="AS19" s="4"/>
    </row>
    <row r="20" spans="1:48" s="5" customFormat="1" ht="15" customHeight="1" x14ac:dyDescent="0.25">
      <c r="J20" s="1"/>
      <c r="K20" s="1"/>
      <c r="L20" s="1"/>
      <c r="M20" s="1"/>
      <c r="N20" s="1"/>
      <c r="O20" s="1"/>
      <c r="P20" s="1"/>
      <c r="Q20" s="1"/>
      <c r="R20" s="1"/>
      <c r="S20" s="1"/>
      <c r="T20" s="1"/>
      <c r="U20" s="1"/>
      <c r="V20" s="1"/>
      <c r="W20" s="1"/>
      <c r="X20" s="1"/>
      <c r="Y20" s="1"/>
      <c r="Z20" s="1"/>
      <c r="AA20" s="1"/>
      <c r="AB20" s="1"/>
      <c r="AD20" s="51"/>
      <c r="AO20" s="4"/>
      <c r="AP20" s="4"/>
      <c r="AQ20" s="4"/>
      <c r="AR20" s="4"/>
      <c r="AS20" s="4"/>
    </row>
    <row r="21" spans="1:48" s="5" customFormat="1" ht="15" customHeight="1" x14ac:dyDescent="0.25">
      <c r="A21" s="342" t="s">
        <v>344</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D21" s="51"/>
      <c r="AO21" s="4"/>
      <c r="AP21" s="4"/>
      <c r="AQ21" s="4"/>
      <c r="AR21" s="4"/>
      <c r="AS21" s="4"/>
    </row>
    <row r="22" spans="1:48" s="5" customFormat="1" ht="15" customHeight="1" x14ac:dyDescent="0.25">
      <c r="J22" s="1"/>
      <c r="K22" s="1"/>
      <c r="L22" s="1"/>
      <c r="M22" s="1"/>
      <c r="N22" s="1"/>
      <c r="O22" s="1"/>
      <c r="P22" s="1"/>
      <c r="Q22" s="1"/>
      <c r="R22" s="1"/>
      <c r="S22" s="1"/>
      <c r="T22" s="1"/>
      <c r="U22" s="1"/>
      <c r="V22" s="1"/>
      <c r="W22" s="1"/>
      <c r="X22" s="1"/>
      <c r="Y22" s="1"/>
      <c r="Z22" s="1"/>
      <c r="AA22" s="1"/>
      <c r="AB22" s="1"/>
      <c r="AD22" s="51"/>
      <c r="AO22" s="4"/>
      <c r="AP22" s="4"/>
      <c r="AQ22" s="4"/>
      <c r="AR22" s="4"/>
      <c r="AS22" s="4"/>
    </row>
    <row r="23" spans="1:48" s="5" customFormat="1" ht="15" customHeight="1" x14ac:dyDescent="0.25">
      <c r="B23" s="150" t="s">
        <v>345</v>
      </c>
      <c r="J23" s="1"/>
      <c r="K23" s="1"/>
      <c r="L23" s="1"/>
      <c r="M23" s="1"/>
      <c r="N23" s="1"/>
      <c r="O23" s="1"/>
      <c r="P23" s="1"/>
      <c r="Q23" s="1"/>
      <c r="R23" s="1"/>
      <c r="S23" s="1"/>
      <c r="T23" s="1"/>
      <c r="U23" s="1"/>
      <c r="V23" s="1"/>
      <c r="W23" s="1"/>
      <c r="X23" s="1"/>
      <c r="Y23" s="1"/>
      <c r="Z23" s="1"/>
      <c r="AA23" s="1"/>
      <c r="AB23" s="1"/>
      <c r="AD23" s="51"/>
      <c r="AO23" s="4"/>
      <c r="AP23" s="4"/>
      <c r="AQ23" s="4"/>
      <c r="AR23" s="4"/>
      <c r="AS23" s="4"/>
    </row>
    <row r="24" spans="1:48" s="5" customFormat="1" ht="15" customHeight="1" x14ac:dyDescent="0.25">
      <c r="J24" s="1"/>
      <c r="K24" s="1"/>
      <c r="L24" s="1"/>
      <c r="M24" s="1"/>
      <c r="N24" s="1"/>
      <c r="O24" s="1"/>
      <c r="P24" s="1"/>
      <c r="Q24" s="1"/>
      <c r="R24" s="1"/>
      <c r="S24" s="1"/>
      <c r="T24" s="1"/>
      <c r="U24" s="1"/>
      <c r="V24" s="1"/>
      <c r="W24" s="1"/>
      <c r="X24" s="1"/>
      <c r="Y24" s="1"/>
      <c r="Z24" s="1"/>
      <c r="AA24" s="1"/>
      <c r="AB24" s="1"/>
      <c r="AD24" s="51"/>
      <c r="AM24" s="6"/>
      <c r="AN24" s="13"/>
      <c r="AO24" s="3"/>
      <c r="AP24" s="3"/>
      <c r="AQ24" s="3"/>
      <c r="AR24" s="3"/>
      <c r="AS24" s="3"/>
      <c r="AV24" s="6"/>
    </row>
    <row r="25" spans="1:48" s="5" customFormat="1" ht="15" customHeight="1" x14ac:dyDescent="0.25">
      <c r="B25" s="323" t="s">
        <v>342</v>
      </c>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D25" s="51"/>
      <c r="AO25" s="7"/>
    </row>
    <row r="26" spans="1:48" s="5" customFormat="1" ht="15" customHeight="1" x14ac:dyDescent="0.25">
      <c r="F26" s="2"/>
      <c r="G26" s="2"/>
      <c r="H26" s="2"/>
      <c r="I26" s="2"/>
      <c r="J26" s="4"/>
      <c r="K26" s="4"/>
      <c r="L26" s="4"/>
      <c r="M26" s="4"/>
      <c r="N26" s="4"/>
      <c r="O26" s="4"/>
      <c r="P26" s="4"/>
      <c r="Q26" s="4"/>
      <c r="R26" s="4"/>
      <c r="S26" s="4"/>
      <c r="T26" s="4"/>
      <c r="U26" s="4"/>
      <c r="V26" s="1"/>
      <c r="W26" s="1"/>
      <c r="X26" s="1"/>
      <c r="Y26" s="4"/>
      <c r="Z26" s="1"/>
      <c r="AA26" s="1"/>
      <c r="AB26" s="1"/>
      <c r="AD26" s="51"/>
      <c r="AO26" s="7"/>
    </row>
    <row r="27" spans="1:48" s="5" customFormat="1" ht="15" customHeight="1" x14ac:dyDescent="0.25">
      <c r="F27" s="2"/>
      <c r="G27" s="2"/>
      <c r="H27" s="2"/>
      <c r="I27" s="2"/>
      <c r="J27" s="4"/>
      <c r="K27" s="4"/>
      <c r="L27" s="4"/>
      <c r="M27" s="4"/>
      <c r="N27" s="4"/>
      <c r="O27" s="4"/>
      <c r="P27" s="4"/>
      <c r="Q27" s="4"/>
      <c r="R27" s="4"/>
      <c r="S27" s="4"/>
      <c r="T27" s="4"/>
      <c r="U27" s="4"/>
      <c r="V27" s="1"/>
      <c r="W27" s="1"/>
      <c r="X27" s="1"/>
      <c r="Y27" s="4"/>
      <c r="Z27" s="1"/>
      <c r="AA27" s="1"/>
      <c r="AB27" s="1"/>
      <c r="AD27" s="51"/>
      <c r="AO27" s="7"/>
    </row>
    <row r="28" spans="1:48" s="5" customFormat="1" ht="15" customHeight="1" x14ac:dyDescent="0.25">
      <c r="C28" s="266" t="s">
        <v>346</v>
      </c>
      <c r="D28" s="266"/>
      <c r="E28" s="266"/>
      <c r="F28" s="266"/>
      <c r="G28" s="26"/>
      <c r="H28" s="26"/>
      <c r="I28" s="26"/>
      <c r="J28" s="17"/>
      <c r="K28" s="17"/>
      <c r="L28" s="17"/>
      <c r="M28" s="17"/>
      <c r="N28" s="17"/>
      <c r="O28" s="17"/>
      <c r="P28" s="17"/>
      <c r="Q28" s="17"/>
      <c r="R28" s="17"/>
      <c r="S28" s="17"/>
      <c r="T28" s="17"/>
      <c r="U28" s="17"/>
      <c r="V28" s="18"/>
      <c r="W28" s="18"/>
      <c r="X28" s="18"/>
      <c r="Y28" s="17"/>
      <c r="Z28" s="18"/>
      <c r="AA28" s="18"/>
      <c r="AB28" s="18"/>
      <c r="AD28" s="51"/>
      <c r="AO28" s="7"/>
    </row>
    <row r="29" spans="1:48" s="5" customFormat="1" ht="15" customHeight="1" x14ac:dyDescent="0.25">
      <c r="C29" s="28"/>
      <c r="D29" s="28"/>
      <c r="E29" s="321" t="s">
        <v>497</v>
      </c>
      <c r="F29" s="329"/>
      <c r="G29" s="28"/>
      <c r="H29" s="28"/>
      <c r="I29" s="70"/>
      <c r="J29" s="316" t="str">
        <f>IF(ISBLANK('(3) Variantenbewertung'!$I$11),"",'(3) Variantenbewertung'!$I$11)</f>
        <v>V1</v>
      </c>
      <c r="K29" s="316"/>
      <c r="L29" s="18"/>
      <c r="M29" s="18"/>
      <c r="N29" s="316" t="str">
        <f>IF(ISBLANK('(3) Variantenbewertung'!$L$11),"",'(3) Variantenbewertung'!$L$11)</f>
        <v>V2</v>
      </c>
      <c r="O29" s="316"/>
      <c r="P29" s="18"/>
      <c r="Q29" s="18"/>
      <c r="R29" s="316" t="str">
        <f>IF(ISBLANK('(3) Variantenbewertung'!$O$11),"",'(3) Variantenbewertung'!$O$11)</f>
        <v>V3</v>
      </c>
      <c r="S29" s="316"/>
      <c r="T29" s="55"/>
      <c r="U29" s="18"/>
      <c r="V29" s="316" t="str">
        <f>IF(ISBLANK('(3) Variantenbewertung'!$R$11),"",'(3) Variantenbewertung'!$R$11)</f>
        <v/>
      </c>
      <c r="W29" s="316"/>
      <c r="X29" s="18"/>
      <c r="Y29" s="18"/>
      <c r="Z29" s="316" t="str">
        <f>IF(ISBLANK('(3) Variantenbewertung'!$U$11),"",'(3) Variantenbewertung'!$U$11)</f>
        <v/>
      </c>
      <c r="AA29" s="316"/>
      <c r="AB29" s="18"/>
      <c r="AD29" s="284" t="s">
        <v>44</v>
      </c>
      <c r="AF29" s="28"/>
      <c r="AG29" s="28"/>
      <c r="AH29" s="28"/>
      <c r="AI29" s="28"/>
      <c r="AJ29" s="28"/>
      <c r="AK29" s="28"/>
      <c r="AL29" s="28"/>
      <c r="AM29" s="338"/>
      <c r="AN29" s="338"/>
      <c r="AP29" s="7"/>
    </row>
    <row r="30" spans="1:48" s="5" customFormat="1" ht="15" customHeight="1" x14ac:dyDescent="0.25">
      <c r="C30" s="28"/>
      <c r="D30" s="28"/>
      <c r="E30" s="329"/>
      <c r="F30" s="329"/>
      <c r="G30" s="28"/>
      <c r="H30" s="28"/>
      <c r="I30" s="28"/>
      <c r="J30" s="132" t="s">
        <v>221</v>
      </c>
      <c r="K30" s="133" t="s">
        <v>222</v>
      </c>
      <c r="L30" s="126"/>
      <c r="M30" s="17"/>
      <c r="N30" s="132" t="s">
        <v>221</v>
      </c>
      <c r="O30" s="133" t="s">
        <v>222</v>
      </c>
      <c r="P30" s="126"/>
      <c r="Q30" s="17"/>
      <c r="R30" s="132" t="s">
        <v>221</v>
      </c>
      <c r="S30" s="133" t="s">
        <v>222</v>
      </c>
      <c r="T30" s="126"/>
      <c r="U30" s="17"/>
      <c r="V30" s="132" t="s">
        <v>221</v>
      </c>
      <c r="W30" s="133" t="s">
        <v>222</v>
      </c>
      <c r="X30" s="126"/>
      <c r="Y30" s="17"/>
      <c r="Z30" s="132" t="s">
        <v>221</v>
      </c>
      <c r="AA30" s="133" t="s">
        <v>222</v>
      </c>
      <c r="AB30" s="17"/>
      <c r="AD30" s="284"/>
      <c r="AF30" s="27"/>
      <c r="AG30" s="28"/>
      <c r="AH30" s="27"/>
      <c r="AI30" s="330" t="s">
        <v>3</v>
      </c>
      <c r="AJ30" s="330" t="s">
        <v>5</v>
      </c>
      <c r="AK30" s="330" t="s">
        <v>4</v>
      </c>
      <c r="AL30" s="302" t="s">
        <v>176</v>
      </c>
      <c r="AM30" s="334" t="s">
        <v>34</v>
      </c>
      <c r="AN30" s="335"/>
      <c r="AP30" s="7"/>
    </row>
    <row r="31" spans="1:48" s="5" customFormat="1" ht="15" customHeight="1" x14ac:dyDescent="0.25">
      <c r="C31" s="28"/>
      <c r="D31" s="28"/>
      <c r="E31" s="346"/>
      <c r="F31" s="346"/>
      <c r="G31" s="28"/>
      <c r="H31" s="28"/>
      <c r="I31" s="28"/>
      <c r="J31" s="125" t="s">
        <v>66</v>
      </c>
      <c r="K31" s="53" t="str">
        <f>IF(NOT(K34="keine Korrektur"),"Bitte begründen:","")</f>
        <v/>
      </c>
      <c r="L31" s="127"/>
      <c r="M31" s="17"/>
      <c r="N31" s="125" t="s">
        <v>66</v>
      </c>
      <c r="O31" s="53" t="str">
        <f>IF(NOT(O34="keine Korrektur"),"Bitte begründen:","")</f>
        <v>Bitte begründen:</v>
      </c>
      <c r="P31" s="127"/>
      <c r="Q31" s="17"/>
      <c r="R31" s="125" t="s">
        <v>66</v>
      </c>
      <c r="S31" s="53" t="str">
        <f>IF(NOT(S34="keine Korrektur"),"Bitte begründen:","")</f>
        <v/>
      </c>
      <c r="T31" s="127"/>
      <c r="U31" s="17"/>
      <c r="V31" s="125" t="s">
        <v>66</v>
      </c>
      <c r="W31" s="53" t="str">
        <f>IF(NOT(W34="keine Korrektur"),"Bitte begründen:","")</f>
        <v/>
      </c>
      <c r="X31" s="127"/>
      <c r="Y31" s="17"/>
      <c r="Z31" s="125" t="s">
        <v>66</v>
      </c>
      <c r="AA31" s="53" t="str">
        <f>IF(NOT(AA34="keine Korrektur"),"Bitte begründen:","")</f>
        <v/>
      </c>
      <c r="AB31" s="17"/>
      <c r="AD31" s="89"/>
      <c r="AF31" s="27"/>
      <c r="AG31" s="28"/>
      <c r="AH31" s="27"/>
      <c r="AI31" s="331"/>
      <c r="AJ31" s="331"/>
      <c r="AK31" s="331"/>
      <c r="AL31" s="303"/>
      <c r="AM31" s="336"/>
      <c r="AN31" s="337"/>
      <c r="AP31" s="7"/>
    </row>
    <row r="32" spans="1:48" s="5" customFormat="1" ht="133.80000000000001" customHeight="1" x14ac:dyDescent="0.25">
      <c r="C32" s="28"/>
      <c r="D32" s="30"/>
      <c r="E32" s="333" t="str">
        <f>IF(COUNTIF('(1) Grundlagen'!$H$49:$AB$49,TRUE)&lt;1,"Bitte auf Blatt (1) Anlagentyp wählen",IF(COUNTIF('(1) Grundlagen'!$H$49:$AB$49,TRUE)&gt;1,"FEHLER, bitte auf Blatt (1) nur einen Anlagentyp wählen",IF('(1) Grundlagen'!$H$49,AI32,IF('(1) Grundlagen'!$L$49,AJ32,IF('(1) Grundlagen'!$R$49,AK32,IF('(1) Grundlagen'!$V$49,'(3a) Funktionskriterien'!AL32,AM32))))))</f>
        <v>Die Restwasserstrecke weist an mindestens 300 Tagen/Jahr einen Wanderkorridor auf.
- UND - 
In der Restwasserstrecke liegt eine FAH am Prallufer bzw. auf der Uferseite der Hauptströmung.
- UND -
Falls ein durch Fische nutzbares Seitengewässer in den Oberwasserkanal mündet, befindet sich uferseitig neben dem Kraftwerk eine weitere FAH.</v>
      </c>
      <c r="F32" s="333"/>
      <c r="G32" s="28"/>
      <c r="H32" s="28"/>
      <c r="I32" s="28"/>
      <c r="J32" s="99"/>
      <c r="K32" s="318"/>
      <c r="L32" s="20"/>
      <c r="M32" s="18"/>
      <c r="N32" s="99" t="s">
        <v>178</v>
      </c>
      <c r="O32" s="318"/>
      <c r="P32" s="20"/>
      <c r="Q32" s="18"/>
      <c r="R32" s="99"/>
      <c r="S32" s="318"/>
      <c r="T32" s="20"/>
      <c r="U32" s="20"/>
      <c r="V32" s="99"/>
      <c r="W32" s="318"/>
      <c r="X32" s="20"/>
      <c r="Y32" s="18"/>
      <c r="Z32" s="99"/>
      <c r="AA32" s="318"/>
      <c r="AB32" s="18"/>
      <c r="AD32" s="283" t="s">
        <v>224</v>
      </c>
      <c r="AF32" s="66"/>
      <c r="AG32" s="64" t="s">
        <v>10</v>
      </c>
      <c r="AH32" s="65"/>
      <c r="AI32" s="56" t="s">
        <v>409</v>
      </c>
      <c r="AJ32" s="56" t="s">
        <v>411</v>
      </c>
      <c r="AK32" s="56" t="s">
        <v>413</v>
      </c>
      <c r="AL32" s="56" t="s">
        <v>415</v>
      </c>
      <c r="AM32" s="298" t="s">
        <v>299</v>
      </c>
      <c r="AN32" s="228"/>
      <c r="AO32" s="7"/>
    </row>
    <row r="33" spans="3:41" s="5" customFormat="1" ht="139.80000000000001" customHeight="1" x14ac:dyDescent="0.25">
      <c r="C33" s="28"/>
      <c r="D33" s="32"/>
      <c r="E33" s="333" t="str">
        <f>IF(COUNTIF('(1) Grundlagen'!$H$49:$AB$49,TRUE)&lt;1,"",IF(COUNTIF('(1) Grundlagen'!$H$49:$AB$49,TRUE)&gt;1,"",IF('(1) Grundlagen'!$H$49,AI33,IF('(1) Grundlagen'!$L$49,AJ33,IF('(1) Grundlagen'!$R$49,AK33,IF('(1) Grundlagen'!V49,'(3a) Funktionskriterien'!AL33,AM33))))))</f>
        <v>Die Restwasserstrecke weist an weniger als 300 Tagen/Jahr einen Wanderkorridor auf.
- UND/ODER -
In der Restwasserstrecke liegt keine FAH am Prallufer bzw. auf der Uferseite der Hauptströmung.
- UND/ODER -
Neben dem Kraftwerk befindet sich keine weitere FAH, obwohl ein durch Fische nutzbares Seitengewässer in den Oberwasserkanal mündet.</v>
      </c>
      <c r="F33" s="333"/>
      <c r="G33" s="28"/>
      <c r="H33" s="28"/>
      <c r="I33" s="28"/>
      <c r="J33" s="99" t="s">
        <v>178</v>
      </c>
      <c r="K33" s="319"/>
      <c r="L33" s="20"/>
      <c r="M33" s="18"/>
      <c r="N33" s="99"/>
      <c r="O33" s="319"/>
      <c r="P33" s="20"/>
      <c r="Q33" s="18"/>
      <c r="R33" s="99" t="s">
        <v>178</v>
      </c>
      <c r="S33" s="319"/>
      <c r="T33" s="20"/>
      <c r="U33" s="18"/>
      <c r="V33" s="99"/>
      <c r="W33" s="319"/>
      <c r="X33" s="20"/>
      <c r="Y33" s="18"/>
      <c r="Z33" s="99"/>
      <c r="AA33" s="319"/>
      <c r="AB33" s="18"/>
      <c r="AD33" s="283"/>
      <c r="AF33" s="169"/>
      <c r="AG33" s="305" t="s">
        <v>43</v>
      </c>
      <c r="AH33" s="306"/>
      <c r="AI33" s="56" t="s">
        <v>410</v>
      </c>
      <c r="AJ33" s="56" t="s">
        <v>412</v>
      </c>
      <c r="AK33" s="56" t="s">
        <v>414</v>
      </c>
      <c r="AL33" s="56" t="s">
        <v>416</v>
      </c>
      <c r="AM33" s="298" t="s">
        <v>417</v>
      </c>
      <c r="AN33" s="228"/>
      <c r="AO33" s="7"/>
    </row>
    <row r="34" spans="3:41" s="5" customFormat="1" ht="15" customHeight="1" x14ac:dyDescent="0.25">
      <c r="C34" s="28"/>
      <c r="D34" s="28"/>
      <c r="E34" s="28"/>
      <c r="F34" s="28"/>
      <c r="G34" s="28"/>
      <c r="H34" s="28"/>
      <c r="I34" s="28"/>
      <c r="J34" s="25" t="str">
        <f>IF(COUNTIF('(1) Grundlagen'!$H$49:$X$49,TRUE)&lt;&gt;1,"FEHLER",IF(COUNTIF(J$32:J$33,"x")&lt;&gt;1,"FEHLER",IF(J$32="x","gut","schlecht")))</f>
        <v>schlecht</v>
      </c>
      <c r="K34" s="99" t="s">
        <v>45</v>
      </c>
      <c r="L34" s="20"/>
      <c r="M34" s="18"/>
      <c r="N34" s="25" t="str">
        <f>IF(COUNTIF('(1) Grundlagen'!$H$49:$X$49,TRUE)&lt;&gt;1,"FEHLER",IF(COUNTIF(N$32:N$33,"x")&lt;&gt;1,"FEHLER",IF(N$32="x","gut","schlecht")))</f>
        <v>gut</v>
      </c>
      <c r="O34" s="99" t="s">
        <v>420</v>
      </c>
      <c r="P34" s="20"/>
      <c r="Q34" s="18"/>
      <c r="R34" s="25" t="str">
        <f>IF(COUNTIF('(1) Grundlagen'!$H$49:$X$49,TRUE)&lt;&gt;1,"FEHLER",IF(COUNTIF(R$32:R$33,"x")&lt;&gt;1,"FEHLER",IF(R$32="x","gut","schlecht")))</f>
        <v>schlecht</v>
      </c>
      <c r="S34" s="99" t="s">
        <v>45</v>
      </c>
      <c r="T34" s="20"/>
      <c r="U34" s="18"/>
      <c r="V34" s="25" t="str">
        <f>IF(COUNTIF('(1) Grundlagen'!$H$49:$X$49,TRUE)&lt;&gt;1,"FEHLER",IF(COUNTIF(V$32:V$33,"x")&lt;&gt;1,"FEHLER",IF(V$32="x","gut","schlecht")))</f>
        <v>FEHLER</v>
      </c>
      <c r="W34" s="99" t="s">
        <v>45</v>
      </c>
      <c r="X34" s="20"/>
      <c r="Y34" s="18"/>
      <c r="Z34" s="25" t="str">
        <f>IF(COUNTIF('(1) Grundlagen'!$H$49:$X$49,TRUE)&lt;&gt;1,"FEHLER",IF(COUNTIF(Z$32:Z$33,"x")&lt;&gt;1,"FEHLER",IF(Z$32="x","gut","schlecht")))</f>
        <v>FEHLER</v>
      </c>
      <c r="AA34" s="99" t="s">
        <v>45</v>
      </c>
      <c r="AB34" s="18"/>
      <c r="AD34" s="51"/>
      <c r="AF34" s="28"/>
      <c r="AG34" s="28"/>
      <c r="AH34" s="28"/>
      <c r="AI34" s="28"/>
      <c r="AJ34" s="28"/>
      <c r="AK34" s="28"/>
      <c r="AL34" s="28"/>
      <c r="AM34" s="340"/>
      <c r="AN34" s="340"/>
      <c r="AO34" s="7"/>
    </row>
    <row r="35" spans="3:41" s="5" customFormat="1" ht="15" customHeight="1" x14ac:dyDescent="0.25">
      <c r="C35" s="28"/>
      <c r="D35" s="28"/>
      <c r="E35" s="28"/>
      <c r="F35" s="28"/>
      <c r="G35" s="28"/>
      <c r="H35" s="28"/>
      <c r="I35" s="28"/>
      <c r="J35" s="18"/>
      <c r="K35" s="18"/>
      <c r="L35" s="18"/>
      <c r="M35" s="18"/>
      <c r="N35" s="18"/>
      <c r="O35" s="18"/>
      <c r="P35" s="18"/>
      <c r="Q35" s="18"/>
      <c r="R35" s="18"/>
      <c r="S35" s="18"/>
      <c r="T35" s="18"/>
      <c r="U35" s="18"/>
      <c r="V35" s="18"/>
      <c r="W35" s="18"/>
      <c r="X35" s="18"/>
      <c r="Y35" s="18"/>
      <c r="Z35" s="18"/>
      <c r="AA35" s="18"/>
      <c r="AB35" s="18"/>
      <c r="AD35" s="51"/>
      <c r="AF35" s="28"/>
      <c r="AG35" s="28"/>
      <c r="AH35" s="28"/>
      <c r="AI35" s="28"/>
      <c r="AJ35" s="28"/>
      <c r="AK35" s="28"/>
      <c r="AL35" s="28"/>
      <c r="AM35" s="339"/>
      <c r="AN35" s="339"/>
      <c r="AO35" s="7"/>
    </row>
    <row r="36" spans="3:41" s="5" customFormat="1" ht="15" customHeight="1" x14ac:dyDescent="0.25">
      <c r="J36" s="1"/>
      <c r="K36" s="1"/>
      <c r="L36" s="1"/>
      <c r="M36" s="1"/>
      <c r="N36" s="1"/>
      <c r="O36" s="1"/>
      <c r="P36" s="1"/>
      <c r="Q36" s="1"/>
      <c r="R36" s="1"/>
      <c r="S36" s="1"/>
      <c r="T36" s="1"/>
      <c r="U36" s="1"/>
      <c r="V36" s="1"/>
      <c r="W36" s="1"/>
      <c r="X36" s="1"/>
      <c r="Y36" s="1"/>
      <c r="Z36" s="1"/>
      <c r="AA36" s="1"/>
      <c r="AB36" s="1"/>
      <c r="AD36" s="51"/>
      <c r="AI36" s="6"/>
      <c r="AO36" s="7"/>
    </row>
    <row r="37" spans="3:41" s="5" customFormat="1" ht="15" customHeight="1" x14ac:dyDescent="0.25">
      <c r="J37" s="1"/>
      <c r="K37" s="1"/>
      <c r="L37" s="1"/>
      <c r="M37" s="1"/>
      <c r="N37" s="1"/>
      <c r="O37" s="1"/>
      <c r="P37" s="1"/>
      <c r="Q37" s="1"/>
      <c r="R37" s="1"/>
      <c r="S37" s="1"/>
      <c r="T37" s="1"/>
      <c r="U37" s="1"/>
      <c r="V37" s="1"/>
      <c r="W37" s="1"/>
      <c r="X37" s="1"/>
      <c r="Y37" s="1"/>
      <c r="Z37" s="1"/>
      <c r="AA37" s="1"/>
      <c r="AB37" s="1"/>
      <c r="AD37" s="51"/>
      <c r="AO37" s="7"/>
    </row>
    <row r="38" spans="3:41" s="5" customFormat="1" ht="15" customHeight="1" x14ac:dyDescent="0.25">
      <c r="C38" s="266" t="s">
        <v>347</v>
      </c>
      <c r="D38" s="266"/>
      <c r="E38" s="266"/>
      <c r="F38" s="266"/>
      <c r="G38" s="26"/>
      <c r="H38" s="26"/>
      <c r="I38" s="26"/>
      <c r="J38" s="17"/>
      <c r="K38" s="17"/>
      <c r="L38" s="17"/>
      <c r="M38" s="17"/>
      <c r="N38" s="17"/>
      <c r="O38" s="17"/>
      <c r="P38" s="17"/>
      <c r="Q38" s="17"/>
      <c r="R38" s="17"/>
      <c r="S38" s="17"/>
      <c r="T38" s="17"/>
      <c r="U38" s="17"/>
      <c r="V38" s="18"/>
      <c r="W38" s="18"/>
      <c r="X38" s="18"/>
      <c r="Y38" s="17"/>
      <c r="Z38" s="18"/>
      <c r="AA38" s="18"/>
      <c r="AB38" s="18"/>
      <c r="AD38" s="51"/>
      <c r="AO38" s="7"/>
    </row>
    <row r="39" spans="3:41" s="5" customFormat="1" ht="15" customHeight="1" x14ac:dyDescent="0.25">
      <c r="C39" s="28"/>
      <c r="D39" s="28"/>
      <c r="E39" s="347"/>
      <c r="F39" s="348"/>
      <c r="G39" s="28"/>
      <c r="H39" s="28"/>
      <c r="I39" s="70"/>
      <c r="J39" s="316" t="str">
        <f>IF(ISBLANK('(3) Variantenbewertung'!$I$11),"",'(3) Variantenbewertung'!$I$11)</f>
        <v>V1</v>
      </c>
      <c r="K39" s="316"/>
      <c r="L39" s="18"/>
      <c r="M39" s="18"/>
      <c r="N39" s="316" t="str">
        <f>IF(ISBLANK('(3) Variantenbewertung'!$L$11),"",'(3) Variantenbewertung'!$L$11)</f>
        <v>V2</v>
      </c>
      <c r="O39" s="316"/>
      <c r="P39" s="18"/>
      <c r="Q39" s="18"/>
      <c r="R39" s="316" t="str">
        <f>IF(ISBLANK('(3) Variantenbewertung'!$O$11),"",'(3) Variantenbewertung'!$O$11)</f>
        <v>V3</v>
      </c>
      <c r="S39" s="316"/>
      <c r="T39" s="55"/>
      <c r="U39" s="18"/>
      <c r="V39" s="316" t="str">
        <f>IF(ISBLANK('(3) Variantenbewertung'!$R$11),"",'(3) Variantenbewertung'!$R$11)</f>
        <v/>
      </c>
      <c r="W39" s="316"/>
      <c r="X39" s="18"/>
      <c r="Y39" s="18"/>
      <c r="Z39" s="316" t="str">
        <f>IF(ISBLANK('(3) Variantenbewertung'!$U$11),"",'(3) Variantenbewertung'!$U$11)</f>
        <v/>
      </c>
      <c r="AA39" s="316"/>
      <c r="AB39" s="18"/>
      <c r="AD39" s="51"/>
      <c r="AH39" s="310"/>
      <c r="AI39" s="310"/>
      <c r="AJ39" s="310"/>
      <c r="AK39" s="310"/>
      <c r="AL39" s="310"/>
      <c r="AO39" s="7"/>
    </row>
    <row r="40" spans="3:41" s="5" customFormat="1" ht="15" customHeight="1" x14ac:dyDescent="0.25">
      <c r="C40" s="28"/>
      <c r="D40" s="28"/>
      <c r="E40" s="348"/>
      <c r="F40" s="348"/>
      <c r="G40" s="28"/>
      <c r="H40" s="28"/>
      <c r="I40" s="28"/>
      <c r="J40" s="132" t="s">
        <v>221</v>
      </c>
      <c r="K40" s="133" t="s">
        <v>222</v>
      </c>
      <c r="L40" s="126"/>
      <c r="M40" s="17"/>
      <c r="N40" s="132" t="s">
        <v>221</v>
      </c>
      <c r="O40" s="133" t="s">
        <v>222</v>
      </c>
      <c r="P40" s="126"/>
      <c r="Q40" s="17"/>
      <c r="R40" s="132" t="s">
        <v>221</v>
      </c>
      <c r="S40" s="133" t="s">
        <v>222</v>
      </c>
      <c r="T40" s="126"/>
      <c r="U40" s="17"/>
      <c r="V40" s="132" t="s">
        <v>221</v>
      </c>
      <c r="W40" s="133" t="s">
        <v>222</v>
      </c>
      <c r="X40" s="126"/>
      <c r="Y40" s="17"/>
      <c r="Z40" s="132" t="s">
        <v>221</v>
      </c>
      <c r="AA40" s="133" t="s">
        <v>222</v>
      </c>
      <c r="AB40" s="17"/>
      <c r="AD40" s="51"/>
      <c r="AF40" s="28"/>
      <c r="AG40" s="28"/>
      <c r="AH40" s="28"/>
      <c r="AI40" s="27"/>
      <c r="AJ40" s="28"/>
      <c r="AK40" s="28"/>
      <c r="AL40" s="28"/>
      <c r="AO40" s="7"/>
    </row>
    <row r="41" spans="3:41" s="5" customFormat="1" ht="15" customHeight="1" x14ac:dyDescent="0.25">
      <c r="C41" s="28"/>
      <c r="D41" s="28"/>
      <c r="E41" s="27"/>
      <c r="F41" s="27"/>
      <c r="G41" s="28"/>
      <c r="H41" s="28"/>
      <c r="I41" s="28"/>
      <c r="J41" s="125" t="s">
        <v>66</v>
      </c>
      <c r="K41" s="53" t="str">
        <f>IF(NOT(K44="keine Korrektur"),"Bitte begründen:","")</f>
        <v/>
      </c>
      <c r="L41" s="127"/>
      <c r="M41" s="17"/>
      <c r="N41" s="125" t="s">
        <v>66</v>
      </c>
      <c r="O41" s="53" t="str">
        <f>IF(NOT(O44="keine Korrektur"),"Bitte begründen:","")</f>
        <v/>
      </c>
      <c r="P41" s="127"/>
      <c r="Q41" s="17"/>
      <c r="R41" s="125" t="s">
        <v>66</v>
      </c>
      <c r="S41" s="53" t="str">
        <f>IF(NOT(S44="keine Korrektur"),"Bitte begründen:","")</f>
        <v/>
      </c>
      <c r="T41" s="127"/>
      <c r="U41" s="17"/>
      <c r="V41" s="125" t="s">
        <v>66</v>
      </c>
      <c r="W41" s="53" t="str">
        <f>IF(NOT(W44="keine Korrektur"),"Bitte begründen:","")</f>
        <v/>
      </c>
      <c r="X41" s="127"/>
      <c r="Y41" s="17"/>
      <c r="Z41" s="125" t="s">
        <v>66</v>
      </c>
      <c r="AA41" s="53" t="str">
        <f>IF(NOT(AA44="keine Korrektur"),"Bitte begründen:","")</f>
        <v/>
      </c>
      <c r="AB41" s="17"/>
      <c r="AD41" s="51"/>
      <c r="AF41" s="28"/>
      <c r="AG41" s="28"/>
      <c r="AH41" s="28"/>
      <c r="AI41" s="305" t="s">
        <v>27</v>
      </c>
      <c r="AJ41" s="306"/>
      <c r="AK41" s="305" t="s">
        <v>41</v>
      </c>
      <c r="AL41" s="306"/>
      <c r="AO41" s="7"/>
    </row>
    <row r="42" spans="3:41" s="5" customFormat="1" ht="191.4" customHeight="1" x14ac:dyDescent="0.25">
      <c r="C42" s="28"/>
      <c r="D42" s="30"/>
      <c r="E42" s="265" t="str">
        <f>IF('(1) Grundlagen'!$H$50="Bitte wählen","Bitte auf Blatt (1) Flussbreite wählen",IF('(1) Grundlagen'!$H$50="&lt; 50 m",AI42,AK42))</f>
        <v>Der Einstieg in die FAH liegt im Bereich des Wanderkorridors bzw. am Rand der Hauptströmung. 
- UND -
Der Einstieg in die FAH liegt so nahe wie möglich am Querbauwerk bzw. am oberen Ende des Suchbereichs (keine Sackgasse). 
- UND -
Der Einstieg in die FAH liegt nicht im Einflussbereich von Kehrwassern.</v>
      </c>
      <c r="F42" s="265"/>
      <c r="G42" s="28"/>
      <c r="H42" s="28"/>
      <c r="I42" s="28"/>
      <c r="J42" s="198" t="s">
        <v>178</v>
      </c>
      <c r="K42" s="318"/>
      <c r="L42" s="20"/>
      <c r="M42" s="18"/>
      <c r="N42" s="199" t="s">
        <v>178</v>
      </c>
      <c r="O42" s="318"/>
      <c r="P42" s="20"/>
      <c r="Q42" s="18"/>
      <c r="R42" s="199"/>
      <c r="S42" s="318"/>
      <c r="T42" s="20"/>
      <c r="U42" s="20"/>
      <c r="V42" s="199"/>
      <c r="W42" s="318"/>
      <c r="X42" s="20"/>
      <c r="Y42" s="18"/>
      <c r="Z42" s="199"/>
      <c r="AA42" s="318"/>
      <c r="AB42" s="18"/>
      <c r="AD42" s="51"/>
      <c r="AF42" s="30"/>
      <c r="AG42" s="305" t="s">
        <v>10</v>
      </c>
      <c r="AH42" s="306"/>
      <c r="AI42" s="298" t="s">
        <v>300</v>
      </c>
      <c r="AJ42" s="228"/>
      <c r="AK42" s="298" t="s">
        <v>301</v>
      </c>
      <c r="AL42" s="228"/>
      <c r="AO42" s="7"/>
    </row>
    <row r="43" spans="3:41" s="5" customFormat="1" ht="172.2" customHeight="1" x14ac:dyDescent="0.25">
      <c r="C43" s="28"/>
      <c r="D43" s="32"/>
      <c r="E43" s="344" t="str">
        <f>IF('(1) Grundlagen'!$H$50="Bitte wählen","",IF('(1) Grundlagen'!$H$50="&lt; 50 m",AI43,AK43))</f>
        <v>Der Einstieg in die FAH liegt nicht im Bereich des Wanderkorridors bzw. nicht im Bereich der Hauptströmung. 
- UND/ODER -
Der Einstieg in die FAH liegt in deutlicher Entfernung vom Querbauwerk bzw. oberen Ende des Suchbereichs (Sackgasse). 
- UND/ODER -
Der Einstieg in die FAH liegt im Einflussbereich von Kehrwassern.</v>
      </c>
      <c r="F43" s="345"/>
      <c r="G43" s="28"/>
      <c r="H43" s="28"/>
      <c r="I43" s="28"/>
      <c r="J43" s="99"/>
      <c r="K43" s="319"/>
      <c r="L43" s="20"/>
      <c r="M43" s="18"/>
      <c r="N43" s="99"/>
      <c r="O43" s="319"/>
      <c r="P43" s="20"/>
      <c r="Q43" s="18"/>
      <c r="R43" s="99" t="s">
        <v>178</v>
      </c>
      <c r="S43" s="319"/>
      <c r="T43" s="20"/>
      <c r="U43" s="18"/>
      <c r="V43" s="99"/>
      <c r="W43" s="319"/>
      <c r="X43" s="20"/>
      <c r="Y43" s="18"/>
      <c r="Z43" s="99"/>
      <c r="AA43" s="319"/>
      <c r="AB43" s="18"/>
      <c r="AD43" s="51"/>
      <c r="AF43" s="32"/>
      <c r="AG43" s="305" t="s">
        <v>43</v>
      </c>
      <c r="AH43" s="306"/>
      <c r="AI43" s="298" t="s">
        <v>419</v>
      </c>
      <c r="AJ43" s="228"/>
      <c r="AK43" s="298" t="s">
        <v>418</v>
      </c>
      <c r="AL43" s="228"/>
      <c r="AO43" s="7"/>
    </row>
    <row r="44" spans="3:41" s="5" customFormat="1" ht="15" customHeight="1" x14ac:dyDescent="0.25">
      <c r="C44" s="28"/>
      <c r="D44" s="28"/>
      <c r="E44" s="28"/>
      <c r="F44" s="28"/>
      <c r="G44" s="28"/>
      <c r="H44" s="28"/>
      <c r="I44" s="28"/>
      <c r="J44" s="25" t="str">
        <f>IF('(1) Grundlagen'!$H$50="Bitte wählen","FEHLER",IF(COUNTIF(J$42:J$43,"x")&lt;&gt;1,"FEHLER",IF(J$42="x","gut","schlecht")))</f>
        <v>gut</v>
      </c>
      <c r="K44" s="99" t="s">
        <v>45</v>
      </c>
      <c r="L44" s="20"/>
      <c r="M44" s="18"/>
      <c r="N44" s="25" t="str">
        <f>IF('(1) Grundlagen'!$H$50="Bitte wählen","FEHLER",IF(COUNTIF(N$42:N$43,"x")&lt;&gt;1,"FEHLER",IF(N$42="x","gut","schlecht")))</f>
        <v>gut</v>
      </c>
      <c r="O44" s="99" t="s">
        <v>45</v>
      </c>
      <c r="P44" s="20"/>
      <c r="Q44" s="18"/>
      <c r="R44" s="25" t="str">
        <f>IF('(1) Grundlagen'!$H$50="Bitte wählen","FEHLER",IF(COUNTIF(R$42:R$43,"x")&lt;&gt;1,"FEHLER",IF(R$42="x","gut","schlecht")))</f>
        <v>schlecht</v>
      </c>
      <c r="S44" s="99" t="s">
        <v>45</v>
      </c>
      <c r="T44" s="20"/>
      <c r="U44" s="18"/>
      <c r="V44" s="25" t="str">
        <f>IF('(1) Grundlagen'!$H$50="Bitte wählen","FEHLER",IF(COUNTIF(V$42:V$43,"x")&lt;&gt;1,"FEHLER",IF(V$42="x","gut","schlecht")))</f>
        <v>FEHLER</v>
      </c>
      <c r="W44" s="99" t="s">
        <v>45</v>
      </c>
      <c r="X44" s="20"/>
      <c r="Y44" s="18"/>
      <c r="Z44" s="25" t="str">
        <f>IF('(1) Grundlagen'!$H$50="Bitte wählen","FEHLER",IF(COUNTIF(Z$42:Z$43,"x")&lt;&gt;1,"FEHLER",IF(Z$42="x","gut","schlecht")))</f>
        <v>FEHLER</v>
      </c>
      <c r="AA44" s="99" t="s">
        <v>45</v>
      </c>
      <c r="AB44" s="18"/>
      <c r="AD44" s="284" t="s">
        <v>44</v>
      </c>
      <c r="AF44" s="28"/>
      <c r="AG44" s="28"/>
      <c r="AH44" s="28"/>
      <c r="AI44" s="20"/>
      <c r="AJ44" s="28"/>
      <c r="AK44" s="28"/>
      <c r="AL44" s="28"/>
      <c r="AO44" s="7"/>
    </row>
    <row r="45" spans="3:41" s="5" customFormat="1" ht="15" customHeight="1" x14ac:dyDescent="0.25">
      <c r="C45" s="28"/>
      <c r="D45" s="28"/>
      <c r="E45" s="28"/>
      <c r="F45" s="28"/>
      <c r="G45" s="28"/>
      <c r="H45" s="28"/>
      <c r="I45" s="28"/>
      <c r="J45" s="18"/>
      <c r="K45" s="18"/>
      <c r="L45" s="18"/>
      <c r="M45" s="18"/>
      <c r="N45" s="18"/>
      <c r="O45" s="18"/>
      <c r="P45" s="18"/>
      <c r="Q45" s="18"/>
      <c r="R45" s="18"/>
      <c r="S45" s="18"/>
      <c r="T45" s="18"/>
      <c r="U45" s="18"/>
      <c r="V45" s="18"/>
      <c r="W45" s="18"/>
      <c r="X45" s="18"/>
      <c r="Y45" s="18"/>
      <c r="Z45" s="18"/>
      <c r="AA45" s="18"/>
      <c r="AB45" s="18"/>
      <c r="AD45" s="284"/>
      <c r="AO45" s="7"/>
    </row>
    <row r="46" spans="3:41" s="5" customFormat="1" ht="15" customHeight="1" x14ac:dyDescent="0.25">
      <c r="J46" s="1"/>
      <c r="K46" s="1"/>
      <c r="L46" s="1"/>
      <c r="M46" s="1"/>
      <c r="N46" s="1"/>
      <c r="O46" s="1"/>
      <c r="P46" s="1"/>
      <c r="Q46" s="1"/>
      <c r="R46" s="1"/>
      <c r="S46" s="1"/>
      <c r="T46" s="1"/>
      <c r="U46" s="1"/>
      <c r="V46" s="1"/>
      <c r="W46" s="1"/>
      <c r="X46" s="1"/>
      <c r="Y46" s="1"/>
      <c r="Z46" s="1"/>
      <c r="AA46" s="1"/>
      <c r="AB46" s="1"/>
      <c r="AD46" s="283" t="s">
        <v>224</v>
      </c>
      <c r="AO46" s="7"/>
    </row>
    <row r="47" spans="3:41" s="5" customFormat="1" ht="15" customHeight="1" x14ac:dyDescent="0.25">
      <c r="J47" s="1"/>
      <c r="K47" s="1"/>
      <c r="L47" s="1"/>
      <c r="M47" s="1"/>
      <c r="N47" s="1"/>
      <c r="O47" s="1"/>
      <c r="P47" s="1"/>
      <c r="Q47" s="1"/>
      <c r="R47" s="1"/>
      <c r="S47" s="1"/>
      <c r="T47" s="1"/>
      <c r="U47" s="1"/>
      <c r="V47" s="1"/>
      <c r="W47" s="1"/>
      <c r="X47" s="1"/>
      <c r="Y47" s="1"/>
      <c r="Z47" s="1"/>
      <c r="AA47" s="1"/>
      <c r="AB47" s="1"/>
      <c r="AD47" s="283"/>
      <c r="AO47" s="7"/>
    </row>
    <row r="48" spans="3:41" s="5" customFormat="1" ht="15" customHeight="1" x14ac:dyDescent="0.25">
      <c r="C48" s="266" t="s">
        <v>348</v>
      </c>
      <c r="D48" s="266"/>
      <c r="E48" s="266"/>
      <c r="F48" s="266"/>
      <c r="G48" s="28"/>
      <c r="H48" s="28"/>
      <c r="I48" s="28"/>
      <c r="J48" s="18"/>
      <c r="K48" s="18"/>
      <c r="L48" s="18"/>
      <c r="M48" s="18"/>
      <c r="N48" s="18"/>
      <c r="O48" s="18"/>
      <c r="P48" s="18"/>
      <c r="Q48" s="18"/>
      <c r="R48" s="18"/>
      <c r="S48" s="18"/>
      <c r="T48" s="18"/>
      <c r="U48" s="18"/>
      <c r="V48" s="18"/>
      <c r="W48" s="18"/>
      <c r="X48" s="18"/>
      <c r="Y48" s="18"/>
      <c r="Z48" s="18"/>
      <c r="AA48" s="18"/>
      <c r="AB48" s="18"/>
      <c r="AD48" s="283"/>
      <c r="AF48" s="28"/>
      <c r="AG48" s="28"/>
      <c r="AH48" s="266"/>
      <c r="AI48" s="266"/>
      <c r="AJ48" s="266"/>
      <c r="AK48" s="266"/>
      <c r="AL48" s="266"/>
      <c r="AO48" s="7"/>
    </row>
    <row r="49" spans="3:41" s="5" customFormat="1" ht="15" customHeight="1" x14ac:dyDescent="0.25">
      <c r="C49" s="28"/>
      <c r="D49" s="263"/>
      <c r="E49" s="263"/>
      <c r="F49" s="263"/>
      <c r="G49" s="263"/>
      <c r="H49" s="180"/>
      <c r="I49" s="70"/>
      <c r="J49" s="316" t="str">
        <f>IF(ISBLANK('(3) Variantenbewertung'!$I$11),"",'(3) Variantenbewertung'!$I$11)</f>
        <v>V1</v>
      </c>
      <c r="K49" s="316"/>
      <c r="L49" s="18"/>
      <c r="M49" s="18"/>
      <c r="N49" s="316" t="str">
        <f>IF(ISBLANK('(3) Variantenbewertung'!$L$11),"",'(3) Variantenbewertung'!$L$11)</f>
        <v>V2</v>
      </c>
      <c r="O49" s="316"/>
      <c r="P49" s="18"/>
      <c r="Q49" s="18"/>
      <c r="R49" s="316" t="str">
        <f>IF(ISBLANK('(3) Variantenbewertung'!$O$11),"",'(3) Variantenbewertung'!$O$11)</f>
        <v>V3</v>
      </c>
      <c r="S49" s="316"/>
      <c r="T49" s="55"/>
      <c r="U49" s="18"/>
      <c r="V49" s="316" t="str">
        <f>IF(ISBLANK('(3) Variantenbewertung'!$R$11),"",'(3) Variantenbewertung'!$R$11)</f>
        <v/>
      </c>
      <c r="W49" s="316"/>
      <c r="X49" s="18"/>
      <c r="Y49" s="18"/>
      <c r="Z49" s="316" t="str">
        <f>IF(ISBLANK('(3) Variantenbewertung'!$U$11),"",'(3) Variantenbewertung'!$U$11)</f>
        <v/>
      </c>
      <c r="AA49" s="316"/>
      <c r="AB49" s="18"/>
      <c r="AD49" s="283"/>
      <c r="AF49" s="27"/>
      <c r="AG49" s="28"/>
      <c r="AH49" s="27"/>
      <c r="AI49" s="309"/>
      <c r="AJ49" s="309"/>
      <c r="AK49" s="309"/>
      <c r="AL49" s="309"/>
      <c r="AM49" s="6"/>
      <c r="AN49" s="6"/>
      <c r="AO49" s="6"/>
    </row>
    <row r="50" spans="3:41" s="5" customFormat="1" ht="15" customHeight="1" x14ac:dyDescent="0.25">
      <c r="C50" s="28"/>
      <c r="D50" s="263"/>
      <c r="E50" s="263"/>
      <c r="F50" s="263"/>
      <c r="G50" s="263"/>
      <c r="H50" s="180"/>
      <c r="I50" s="28"/>
      <c r="J50" s="132" t="s">
        <v>221</v>
      </c>
      <c r="K50" s="133" t="s">
        <v>222</v>
      </c>
      <c r="L50" s="126"/>
      <c r="M50" s="17"/>
      <c r="N50" s="132" t="s">
        <v>221</v>
      </c>
      <c r="O50" s="133" t="s">
        <v>222</v>
      </c>
      <c r="P50" s="126"/>
      <c r="Q50" s="17"/>
      <c r="R50" s="132" t="s">
        <v>221</v>
      </c>
      <c r="S50" s="133" t="s">
        <v>222</v>
      </c>
      <c r="T50" s="126"/>
      <c r="U50" s="17"/>
      <c r="V50" s="132" t="s">
        <v>221</v>
      </c>
      <c r="W50" s="133" t="s">
        <v>222</v>
      </c>
      <c r="X50" s="126"/>
      <c r="Y50" s="17"/>
      <c r="Z50" s="132" t="s">
        <v>221</v>
      </c>
      <c r="AA50" s="133" t="s">
        <v>222</v>
      </c>
      <c r="AB50" s="17"/>
      <c r="AD50" s="283"/>
      <c r="AF50" s="27"/>
      <c r="AG50" s="28"/>
      <c r="AH50" s="27"/>
      <c r="AI50" s="28"/>
      <c r="AJ50" s="28"/>
      <c r="AK50" s="28"/>
      <c r="AL50" s="28"/>
      <c r="AM50" s="9"/>
      <c r="AN50" s="9"/>
      <c r="AO50" s="9"/>
    </row>
    <row r="51" spans="3:41" s="5" customFormat="1" ht="15" customHeight="1" x14ac:dyDescent="0.25">
      <c r="C51" s="28"/>
      <c r="D51" s="28"/>
      <c r="E51" s="28"/>
      <c r="F51" s="28"/>
      <c r="G51" s="28"/>
      <c r="H51" s="28"/>
      <c r="I51" s="28"/>
      <c r="J51" s="25" t="s">
        <v>36</v>
      </c>
      <c r="K51" s="53" t="str">
        <f>IF(NOT(K55="keine Korrektur"),"Bitte begründen:","")</f>
        <v/>
      </c>
      <c r="L51" s="20"/>
      <c r="M51" s="20"/>
      <c r="N51" s="25" t="s">
        <v>36</v>
      </c>
      <c r="O51" s="53" t="str">
        <f>IF(NOT(O55="keine Korrektur"),"Bitte begründen:","")</f>
        <v/>
      </c>
      <c r="P51" s="20"/>
      <c r="Q51" s="20"/>
      <c r="R51" s="25" t="s">
        <v>36</v>
      </c>
      <c r="S51" s="53" t="str">
        <f>IF(NOT(S55="keine Korrektur"),"Bitte begründen:","")</f>
        <v/>
      </c>
      <c r="T51" s="20"/>
      <c r="U51" s="20"/>
      <c r="V51" s="25" t="s">
        <v>36</v>
      </c>
      <c r="W51" s="53" t="str">
        <f>IF(NOT(W55="keine Korrektur"),"Bitte begründen:","")</f>
        <v/>
      </c>
      <c r="X51" s="20"/>
      <c r="Y51" s="20"/>
      <c r="Z51" s="25" t="s">
        <v>36</v>
      </c>
      <c r="AA51" s="53" t="str">
        <f>IF(NOT(AA55="keine Korrektur"),"Bitte begründen:","")</f>
        <v/>
      </c>
      <c r="AB51" s="17"/>
      <c r="AD51" s="283"/>
      <c r="AF51" s="27"/>
      <c r="AG51" s="28"/>
      <c r="AH51" s="27"/>
      <c r="AI51" s="341"/>
      <c r="AJ51" s="341"/>
      <c r="AK51" s="341"/>
      <c r="AL51" s="341"/>
      <c r="AM51" s="9"/>
      <c r="AN51" s="9"/>
      <c r="AO51" s="9"/>
    </row>
    <row r="52" spans="3:41" s="5" customFormat="1" ht="15" customHeight="1" x14ac:dyDescent="0.25">
      <c r="C52" s="28"/>
      <c r="D52" s="30"/>
      <c r="E52" s="265" t="str">
        <f>AI52</f>
        <v>parallel bis &lt; 30° zur Hauptströmung</v>
      </c>
      <c r="F52" s="265"/>
      <c r="G52" s="28"/>
      <c r="H52" s="28"/>
      <c r="I52" s="28"/>
      <c r="J52" s="223">
        <v>35</v>
      </c>
      <c r="K52" s="315"/>
      <c r="L52" s="20"/>
      <c r="M52" s="18"/>
      <c r="N52" s="223">
        <v>25</v>
      </c>
      <c r="O52" s="315"/>
      <c r="P52" s="20"/>
      <c r="Q52" s="18"/>
      <c r="R52" s="223">
        <v>30</v>
      </c>
      <c r="S52" s="315"/>
      <c r="T52" s="20"/>
      <c r="U52" s="20"/>
      <c r="V52" s="223"/>
      <c r="W52" s="315"/>
      <c r="X52" s="20"/>
      <c r="Y52" s="18"/>
      <c r="Z52" s="223"/>
      <c r="AA52" s="315"/>
      <c r="AB52" s="18"/>
      <c r="AD52" s="283"/>
      <c r="AF52" s="30"/>
      <c r="AG52" s="305" t="s">
        <v>10</v>
      </c>
      <c r="AH52" s="306"/>
      <c r="AI52" s="295" t="s">
        <v>266</v>
      </c>
      <c r="AJ52" s="296"/>
      <c r="AK52" s="296"/>
      <c r="AL52" s="297"/>
      <c r="AO52" s="7"/>
    </row>
    <row r="53" spans="3:41" s="5" customFormat="1" ht="15" customHeight="1" x14ac:dyDescent="0.25">
      <c r="C53" s="28"/>
      <c r="D53" s="31"/>
      <c r="E53" s="265" t="str">
        <f>AI53</f>
        <v>30° bis 40° zur Hauptströmung</v>
      </c>
      <c r="F53" s="265"/>
      <c r="G53" s="28"/>
      <c r="H53" s="28"/>
      <c r="I53" s="28"/>
      <c r="J53" s="223"/>
      <c r="K53" s="315"/>
      <c r="L53" s="20"/>
      <c r="M53" s="18"/>
      <c r="N53" s="223"/>
      <c r="O53" s="315"/>
      <c r="P53" s="20"/>
      <c r="Q53" s="18"/>
      <c r="R53" s="223"/>
      <c r="S53" s="315"/>
      <c r="T53" s="20"/>
      <c r="U53" s="18"/>
      <c r="V53" s="223"/>
      <c r="W53" s="315"/>
      <c r="X53" s="20"/>
      <c r="Y53" s="18"/>
      <c r="Z53" s="223"/>
      <c r="AA53" s="315"/>
      <c r="AB53" s="18"/>
      <c r="AD53" s="283"/>
      <c r="AF53" s="31"/>
      <c r="AG53" s="305" t="s">
        <v>42</v>
      </c>
      <c r="AH53" s="306"/>
      <c r="AI53" s="295" t="s">
        <v>267</v>
      </c>
      <c r="AJ53" s="296"/>
      <c r="AK53" s="296"/>
      <c r="AL53" s="297"/>
      <c r="AO53" s="7"/>
    </row>
    <row r="54" spans="3:41" s="5" customFormat="1" ht="15" customHeight="1" x14ac:dyDescent="0.25">
      <c r="C54" s="28"/>
      <c r="D54" s="32"/>
      <c r="E54" s="265" t="str">
        <f>AI54</f>
        <v>&gt; 40° zur Hauptströmung</v>
      </c>
      <c r="F54" s="265"/>
      <c r="G54" s="28"/>
      <c r="H54" s="28"/>
      <c r="I54" s="28"/>
      <c r="J54" s="223"/>
      <c r="K54" s="315"/>
      <c r="L54" s="20"/>
      <c r="M54" s="18"/>
      <c r="N54" s="223"/>
      <c r="O54" s="315"/>
      <c r="P54" s="20"/>
      <c r="Q54" s="18"/>
      <c r="R54" s="223"/>
      <c r="S54" s="315"/>
      <c r="T54" s="20"/>
      <c r="U54" s="18"/>
      <c r="V54" s="223"/>
      <c r="W54" s="315"/>
      <c r="X54" s="20"/>
      <c r="Y54" s="18"/>
      <c r="Z54" s="223"/>
      <c r="AA54" s="315"/>
      <c r="AB54" s="18"/>
      <c r="AD54" s="283"/>
      <c r="AF54" s="32"/>
      <c r="AG54" s="305" t="s">
        <v>43</v>
      </c>
      <c r="AH54" s="306"/>
      <c r="AI54" s="295" t="s">
        <v>268</v>
      </c>
      <c r="AJ54" s="296"/>
      <c r="AK54" s="296"/>
      <c r="AL54" s="297"/>
      <c r="AO54" s="7"/>
    </row>
    <row r="55" spans="3:41" s="5" customFormat="1" ht="15" customHeight="1" x14ac:dyDescent="0.25">
      <c r="C55" s="28"/>
      <c r="D55" s="28"/>
      <c r="E55" s="28"/>
      <c r="F55" s="28"/>
      <c r="G55" s="28"/>
      <c r="H55" s="28"/>
      <c r="I55" s="28"/>
      <c r="J55" s="25" t="str">
        <f>IF(OR(ISBLANK(J52),NOT(ISNUMBER(J52))),"WERT?",IF(J52&lt;=30,"gut",IF(AND(J52&gt;30,J52&lt;=40),"mässig","schlecht")))</f>
        <v>mässig</v>
      </c>
      <c r="K55" s="99" t="s">
        <v>45</v>
      </c>
      <c r="L55" s="20"/>
      <c r="M55" s="18"/>
      <c r="N55" s="25" t="str">
        <f>IF(OR(ISBLANK(N52),NOT(ISNUMBER(N52))),"WERT?",IF(N52&lt;=30,"gut",IF(AND(N52&gt;30,N52&lt;=40),"mässig","schlecht")))</f>
        <v>gut</v>
      </c>
      <c r="O55" s="99" t="s">
        <v>45</v>
      </c>
      <c r="P55" s="20"/>
      <c r="Q55" s="18"/>
      <c r="R55" s="25" t="str">
        <f>IF(OR(ISBLANK(R52),NOT(ISNUMBER(R52))),"WERT?",IF(R52&lt;=30,"gut",IF(AND(R52&gt;30,R52&lt;=40),"mässig","schlecht")))</f>
        <v>gut</v>
      </c>
      <c r="S55" s="99" t="s">
        <v>45</v>
      </c>
      <c r="T55" s="20"/>
      <c r="U55" s="18"/>
      <c r="V55" s="25" t="str">
        <f>IF(OR(ISBLANK(V52),NOT(ISNUMBER(V52))),"WERT?",IF(V52&lt;=30,"gut",IF(AND(V52&gt;30,V52&lt;=40),"mässig","schlecht")))</f>
        <v>WERT?</v>
      </c>
      <c r="W55" s="99" t="s">
        <v>45</v>
      </c>
      <c r="X55" s="20"/>
      <c r="Y55" s="18"/>
      <c r="Z55" s="25" t="str">
        <f>IF(OR(ISBLANK(Z52),NOT(ISNUMBER(Z52))),"WERT?",IF(Z52&lt;=30,"gut",IF(AND(Z52&gt;30,Z52&lt;=40),"mässig","schlecht")))</f>
        <v>WERT?</v>
      </c>
      <c r="AA55" s="99" t="s">
        <v>45</v>
      </c>
      <c r="AB55" s="18"/>
      <c r="AD55" s="283"/>
      <c r="AF55" s="28"/>
      <c r="AG55" s="28"/>
      <c r="AH55" s="28"/>
      <c r="AI55" s="27"/>
      <c r="AJ55" s="27"/>
      <c r="AK55" s="28"/>
      <c r="AL55" s="28"/>
      <c r="AO55" s="7"/>
    </row>
    <row r="56" spans="3:41" s="5" customFormat="1" ht="15" customHeight="1" x14ac:dyDescent="0.25">
      <c r="C56" s="28"/>
      <c r="D56" s="28"/>
      <c r="E56" s="28"/>
      <c r="F56" s="28"/>
      <c r="G56" s="28"/>
      <c r="H56" s="28"/>
      <c r="I56" s="28"/>
      <c r="J56" s="18"/>
      <c r="K56" s="18"/>
      <c r="L56" s="18"/>
      <c r="M56" s="18"/>
      <c r="N56" s="18"/>
      <c r="O56" s="18"/>
      <c r="P56" s="18"/>
      <c r="Q56" s="18"/>
      <c r="R56" s="18"/>
      <c r="S56" s="18"/>
      <c r="T56" s="18"/>
      <c r="U56" s="18"/>
      <c r="V56" s="18"/>
      <c r="W56" s="18"/>
      <c r="X56" s="18"/>
      <c r="Y56" s="18"/>
      <c r="Z56" s="18"/>
      <c r="AA56" s="18"/>
      <c r="AB56" s="18"/>
      <c r="AD56" s="283"/>
      <c r="AF56" s="28"/>
      <c r="AG56" s="28"/>
      <c r="AH56" s="28"/>
      <c r="AI56" s="27"/>
      <c r="AJ56" s="27"/>
      <c r="AK56" s="28"/>
      <c r="AL56" s="28"/>
      <c r="AO56" s="7"/>
    </row>
    <row r="57" spans="3:41" s="5" customFormat="1" ht="15" customHeight="1" x14ac:dyDescent="0.25">
      <c r="J57" s="3"/>
      <c r="L57" s="3"/>
      <c r="M57" s="1"/>
      <c r="N57" s="3"/>
      <c r="O57" s="3"/>
      <c r="P57" s="3"/>
      <c r="Q57" s="1"/>
      <c r="R57" s="3"/>
      <c r="S57" s="3"/>
      <c r="T57" s="3"/>
      <c r="U57" s="1"/>
      <c r="V57" s="3"/>
      <c r="W57" s="3"/>
      <c r="X57" s="3"/>
      <c r="Y57" s="1"/>
      <c r="Z57" s="3"/>
      <c r="AA57" s="3"/>
      <c r="AB57" s="1"/>
      <c r="AD57" s="283"/>
      <c r="AO57" s="7"/>
    </row>
    <row r="58" spans="3:41" s="5" customFormat="1" ht="15" customHeight="1" x14ac:dyDescent="0.25">
      <c r="J58" s="3"/>
      <c r="K58" s="3"/>
      <c r="L58" s="3"/>
      <c r="M58" s="1"/>
      <c r="N58" s="3"/>
      <c r="O58" s="3"/>
      <c r="P58" s="3"/>
      <c r="Q58" s="1"/>
      <c r="R58" s="3"/>
      <c r="S58" s="3"/>
      <c r="T58" s="3"/>
      <c r="U58" s="1"/>
      <c r="V58" s="3"/>
      <c r="W58" s="3"/>
      <c r="X58" s="3"/>
      <c r="Y58" s="1"/>
      <c r="Z58" s="3"/>
      <c r="AA58" s="3"/>
      <c r="AB58" s="1"/>
      <c r="AD58" s="283"/>
      <c r="AO58" s="7"/>
    </row>
    <row r="59" spans="3:41" s="5" customFormat="1" ht="15" customHeight="1" x14ac:dyDescent="0.25">
      <c r="C59" s="266" t="s">
        <v>349</v>
      </c>
      <c r="D59" s="266"/>
      <c r="E59" s="266"/>
      <c r="F59" s="266"/>
      <c r="G59" s="28"/>
      <c r="H59" s="28"/>
      <c r="I59" s="28"/>
      <c r="J59" s="18"/>
      <c r="K59" s="18"/>
      <c r="L59" s="18"/>
      <c r="M59" s="18"/>
      <c r="N59" s="18"/>
      <c r="O59" s="18"/>
      <c r="P59" s="18"/>
      <c r="Q59" s="18"/>
      <c r="R59" s="18"/>
      <c r="S59" s="18"/>
      <c r="T59" s="18"/>
      <c r="U59" s="18"/>
      <c r="V59" s="18"/>
      <c r="W59" s="18"/>
      <c r="X59" s="18"/>
      <c r="Y59" s="18"/>
      <c r="Z59" s="18"/>
      <c r="AA59" s="18"/>
      <c r="AB59" s="18"/>
      <c r="AD59" s="283"/>
      <c r="AF59" s="27"/>
      <c r="AG59" s="28"/>
      <c r="AH59" s="27"/>
      <c r="AI59" s="309"/>
      <c r="AJ59" s="309"/>
      <c r="AK59" s="309"/>
      <c r="AL59" s="309"/>
      <c r="AO59" s="7"/>
    </row>
    <row r="60" spans="3:41" s="5" customFormat="1" ht="15" customHeight="1" x14ac:dyDescent="0.25">
      <c r="C60" s="28"/>
      <c r="D60" s="28"/>
      <c r="E60" s="186"/>
      <c r="F60" s="28"/>
      <c r="G60" s="28"/>
      <c r="H60" s="28"/>
      <c r="I60" s="70"/>
      <c r="J60" s="316" t="str">
        <f>IF(ISBLANK('(3) Variantenbewertung'!$I$11),"",'(3) Variantenbewertung'!$I$11)</f>
        <v>V1</v>
      </c>
      <c r="K60" s="316"/>
      <c r="L60" s="18"/>
      <c r="M60" s="18"/>
      <c r="N60" s="316" t="str">
        <f>IF(ISBLANK('(3) Variantenbewertung'!$L$11),"",'(3) Variantenbewertung'!$L$11)</f>
        <v>V2</v>
      </c>
      <c r="O60" s="316"/>
      <c r="P60" s="18"/>
      <c r="Q60" s="18"/>
      <c r="R60" s="316" t="str">
        <f>IF(ISBLANK('(3) Variantenbewertung'!$O$11),"",'(3) Variantenbewertung'!$O$11)</f>
        <v>V3</v>
      </c>
      <c r="S60" s="316"/>
      <c r="T60" s="55"/>
      <c r="U60" s="18"/>
      <c r="V60" s="316" t="str">
        <f>IF(ISBLANK('(3) Variantenbewertung'!$R$11),"",'(3) Variantenbewertung'!$R$11)</f>
        <v/>
      </c>
      <c r="W60" s="316"/>
      <c r="X60" s="18"/>
      <c r="Y60" s="18"/>
      <c r="Z60" s="316" t="str">
        <f>IF(ISBLANK('(3) Variantenbewertung'!$U$11),"",'(3) Variantenbewertung'!$U$11)</f>
        <v/>
      </c>
      <c r="AA60" s="316"/>
      <c r="AB60" s="18"/>
      <c r="AD60" s="283"/>
      <c r="AF60" s="27"/>
      <c r="AG60" s="28"/>
      <c r="AH60" s="27"/>
      <c r="AI60" s="28"/>
      <c r="AJ60" s="28"/>
      <c r="AK60" s="28"/>
      <c r="AL60" s="28"/>
      <c r="AO60" s="7"/>
    </row>
    <row r="61" spans="3:41" s="5" customFormat="1" ht="15" customHeight="1" x14ac:dyDescent="0.25">
      <c r="C61" s="28"/>
      <c r="D61" s="28"/>
      <c r="E61" s="28"/>
      <c r="F61" s="28"/>
      <c r="G61" s="28"/>
      <c r="H61" s="28"/>
      <c r="I61" s="28"/>
      <c r="J61" s="132" t="s">
        <v>221</v>
      </c>
      <c r="K61" s="133" t="s">
        <v>222</v>
      </c>
      <c r="L61" s="126"/>
      <c r="M61" s="17"/>
      <c r="N61" s="132" t="s">
        <v>221</v>
      </c>
      <c r="O61" s="133" t="s">
        <v>222</v>
      </c>
      <c r="P61" s="126"/>
      <c r="Q61" s="17"/>
      <c r="R61" s="132" t="s">
        <v>221</v>
      </c>
      <c r="S61" s="133" t="s">
        <v>222</v>
      </c>
      <c r="T61" s="126"/>
      <c r="U61" s="17"/>
      <c r="V61" s="132" t="s">
        <v>221</v>
      </c>
      <c r="W61" s="133" t="s">
        <v>222</v>
      </c>
      <c r="X61" s="126"/>
      <c r="Y61" s="17"/>
      <c r="Z61" s="132" t="s">
        <v>221</v>
      </c>
      <c r="AA61" s="133" t="s">
        <v>222</v>
      </c>
      <c r="AB61" s="17"/>
      <c r="AD61" s="283"/>
      <c r="AF61" s="27"/>
      <c r="AG61" s="28"/>
      <c r="AH61" s="27"/>
      <c r="AI61" s="294"/>
      <c r="AJ61" s="294"/>
      <c r="AK61" s="294"/>
      <c r="AL61" s="294"/>
      <c r="AO61" s="7"/>
    </row>
    <row r="62" spans="3:41" s="5" customFormat="1" ht="15" customHeight="1" x14ac:dyDescent="0.25">
      <c r="C62" s="28"/>
      <c r="D62" s="28"/>
      <c r="E62" s="27"/>
      <c r="F62" s="27"/>
      <c r="G62" s="28"/>
      <c r="H62" s="28"/>
      <c r="I62" s="28"/>
      <c r="J62" s="125" t="s">
        <v>66</v>
      </c>
      <c r="K62" s="53" t="str">
        <f>IF(NOT(K66="keine Korrektur"),"Bitte begründen:","")</f>
        <v/>
      </c>
      <c r="L62" s="127"/>
      <c r="M62" s="17"/>
      <c r="N62" s="125" t="s">
        <v>66</v>
      </c>
      <c r="O62" s="53" t="str">
        <f>IF(NOT(O66="keine Korrektur"),"Bitte begründen:","")</f>
        <v/>
      </c>
      <c r="P62" s="127"/>
      <c r="Q62" s="17"/>
      <c r="R62" s="125" t="s">
        <v>66</v>
      </c>
      <c r="S62" s="53" t="str">
        <f>IF(NOT(S66="keine Korrektur"),"Bitte begründen:","")</f>
        <v/>
      </c>
      <c r="T62" s="127"/>
      <c r="U62" s="17"/>
      <c r="V62" s="125" t="s">
        <v>66</v>
      </c>
      <c r="W62" s="53" t="str">
        <f>IF(NOT(W66="keine Korrektur"),"Bitte begründen:","")</f>
        <v/>
      </c>
      <c r="X62" s="127"/>
      <c r="Y62" s="17"/>
      <c r="Z62" s="125" t="s">
        <v>66</v>
      </c>
      <c r="AA62" s="53" t="str">
        <f>IF(NOT(AA66="keine Korrektur"),"Bitte begründen:","")</f>
        <v/>
      </c>
      <c r="AB62" s="17"/>
      <c r="AD62" s="283"/>
      <c r="AF62" s="27"/>
      <c r="AG62" s="27"/>
      <c r="AH62" s="27"/>
      <c r="AI62" s="27"/>
      <c r="AJ62" s="27"/>
      <c r="AK62" s="27"/>
      <c r="AL62" s="27"/>
      <c r="AO62" s="7"/>
    </row>
    <row r="63" spans="3:41" s="5" customFormat="1" ht="133.80000000000001" customHeight="1" x14ac:dyDescent="0.25">
      <c r="C63" s="28"/>
      <c r="D63" s="30"/>
      <c r="E63" s="265" t="str">
        <f>AI63</f>
        <v>Alle Einstiege sind an die Gewässersohle angebunden.
- ODER -
Sohlanrampungen haben eine Neigung von max. 1:2 (50%) und bestehen aus grobem Substrat.
- UND –
Die Leitströmung ist trotz Anrampung auch für sohlenorientierte Fische auffindbar.
- UND - 
Sohlanrampungen verursachen keine Kehrwasserströmungen.</v>
      </c>
      <c r="F63" s="265"/>
      <c r="G63" s="28"/>
      <c r="H63" s="28"/>
      <c r="I63" s="28"/>
      <c r="J63" s="198"/>
      <c r="K63" s="318"/>
      <c r="L63" s="20"/>
      <c r="M63" s="18"/>
      <c r="N63" s="199" t="s">
        <v>178</v>
      </c>
      <c r="O63" s="318"/>
      <c r="P63" s="20"/>
      <c r="Q63" s="18"/>
      <c r="R63" s="199"/>
      <c r="S63" s="318"/>
      <c r="T63" s="20"/>
      <c r="U63" s="20"/>
      <c r="V63" s="199"/>
      <c r="W63" s="318"/>
      <c r="X63" s="20"/>
      <c r="Y63" s="18"/>
      <c r="Z63" s="199"/>
      <c r="AA63" s="318"/>
      <c r="AB63" s="18"/>
      <c r="AD63" s="283"/>
      <c r="AF63" s="66"/>
      <c r="AG63" s="305" t="s">
        <v>10</v>
      </c>
      <c r="AH63" s="306"/>
      <c r="AI63" s="298" t="s">
        <v>302</v>
      </c>
      <c r="AJ63" s="227"/>
      <c r="AK63" s="227"/>
      <c r="AL63" s="228"/>
      <c r="AO63" s="7"/>
    </row>
    <row r="64" spans="3:41" s="5" customFormat="1" ht="159.6" customHeight="1" x14ac:dyDescent="0.25">
      <c r="C64" s="36"/>
      <c r="D64" s="35"/>
      <c r="E64" s="265" t="str">
        <f>AI64</f>
        <v>Mindestens ein Einstieg reicht bis fast an die Gewässersohle herunter (ohne Anrampung).
- ODER -
Sohlanrampungen haben eine Neigung von max. 1:2 (50%) und bestehen aus mehrheitlich grobem Substrat.
- UND -
Die Leitströmung ist trotz Anrampung auch für sohlenorientierte Fische auffindbar.
- UND -
Sohlanrampungen verursachen keine oder schwache Kehrwasserströmungen.</v>
      </c>
      <c r="F64" s="265"/>
      <c r="G64" s="28"/>
      <c r="H64" s="28"/>
      <c r="I64" s="28"/>
      <c r="J64" s="99" t="s">
        <v>178</v>
      </c>
      <c r="K64" s="319"/>
      <c r="L64" s="20"/>
      <c r="M64" s="18"/>
      <c r="N64" s="99"/>
      <c r="O64" s="319"/>
      <c r="P64" s="20"/>
      <c r="Q64" s="18"/>
      <c r="R64" s="99" t="s">
        <v>178</v>
      </c>
      <c r="S64" s="319"/>
      <c r="T64" s="20"/>
      <c r="U64" s="18"/>
      <c r="V64" s="99"/>
      <c r="W64" s="319"/>
      <c r="X64" s="20"/>
      <c r="Y64" s="18"/>
      <c r="Z64" s="99"/>
      <c r="AA64" s="319"/>
      <c r="AB64" s="18"/>
      <c r="AD64" s="283"/>
      <c r="AF64" s="31"/>
      <c r="AG64" s="305" t="s">
        <v>42</v>
      </c>
      <c r="AH64" s="306"/>
      <c r="AI64" s="298" t="s">
        <v>498</v>
      </c>
      <c r="AJ64" s="227"/>
      <c r="AK64" s="227"/>
      <c r="AL64" s="228"/>
      <c r="AO64" s="7"/>
    </row>
    <row r="65" spans="3:41" s="5" customFormat="1" ht="172.2" customHeight="1" x14ac:dyDescent="0.25">
      <c r="C65" s="28"/>
      <c r="D65" s="32"/>
      <c r="E65" s="265" t="str">
        <f>AI65</f>
        <v>Die Einstiege reichen nicht bis an die Gewässersohle und Sohlanrampungen fehlen.
- ODER -
Sohlanrampungen haben eine Neigung über 1:2 (&gt;50%).
- UND/ODER -
Sohlanrampungen bestehen aus glattem Substrat.
- UND/ODER -
Zu hohe Sohlanrampungen verhindern die Ausbildung einer sohlennahen Leitströmung.
- UND/ODER -
Sohlenanrampungen verursachen starke Kehrwasserströmungen.</v>
      </c>
      <c r="F65" s="265"/>
      <c r="G65" s="28"/>
      <c r="H65" s="28"/>
      <c r="I65" s="28"/>
      <c r="J65" s="99"/>
      <c r="K65" s="320"/>
      <c r="L65" s="20"/>
      <c r="M65" s="18"/>
      <c r="N65" s="99"/>
      <c r="O65" s="320"/>
      <c r="P65" s="20"/>
      <c r="Q65" s="18"/>
      <c r="R65" s="99"/>
      <c r="S65" s="320"/>
      <c r="T65" s="20"/>
      <c r="U65" s="18"/>
      <c r="V65" s="99"/>
      <c r="W65" s="320"/>
      <c r="X65" s="20"/>
      <c r="Y65" s="18"/>
      <c r="Z65" s="99"/>
      <c r="AA65" s="320"/>
      <c r="AB65" s="18"/>
      <c r="AD65" s="283"/>
      <c r="AF65" s="32"/>
      <c r="AG65" s="305" t="s">
        <v>43</v>
      </c>
      <c r="AH65" s="306"/>
      <c r="AI65" s="298" t="s">
        <v>421</v>
      </c>
      <c r="AJ65" s="227"/>
      <c r="AK65" s="227"/>
      <c r="AL65" s="228"/>
      <c r="AO65" s="7"/>
    </row>
    <row r="66" spans="3:41" s="5" customFormat="1" ht="15" customHeight="1" x14ac:dyDescent="0.25">
      <c r="C66" s="28"/>
      <c r="D66" s="28"/>
      <c r="E66" s="28"/>
      <c r="F66" s="28"/>
      <c r="G66" s="28"/>
      <c r="H66" s="28"/>
      <c r="I66" s="28"/>
      <c r="J66" s="25" t="str">
        <f>IF('(1) Grundlagen'!$H$50="Bitte wählen","FEHLER",IF(COUNTIF(J$63:J$65,"x")&lt;&gt;1,"FEHLER",IF(J$63="x","gut",IF(J$64="x","mässig","schlecht"))))</f>
        <v>mässig</v>
      </c>
      <c r="K66" s="99" t="s">
        <v>45</v>
      </c>
      <c r="L66" s="20"/>
      <c r="M66" s="18"/>
      <c r="N66" s="25" t="str">
        <f>IF('(1) Grundlagen'!$H$50="Bitte wählen","FEHLER",IF(COUNTIF(N$63:N$65,"x")&lt;&gt;1,"FEHLER",IF(N$63="x","gut",IF(N$64="x","mässig","schlecht"))))</f>
        <v>gut</v>
      </c>
      <c r="O66" s="99" t="s">
        <v>45</v>
      </c>
      <c r="P66" s="20"/>
      <c r="Q66" s="18"/>
      <c r="R66" s="25" t="str">
        <f>IF('(1) Grundlagen'!$H$50="Bitte wählen","FEHLER",IF(COUNTIF(R$63:R$65,"x")&lt;&gt;1,"FEHLER",IF(R$63="x","gut",IF(R$64="x","mässig","schlecht"))))</f>
        <v>mässig</v>
      </c>
      <c r="S66" s="99" t="s">
        <v>45</v>
      </c>
      <c r="T66" s="20"/>
      <c r="U66" s="18"/>
      <c r="V66" s="25" t="str">
        <f>IF('(1) Grundlagen'!$H$50="Bitte wählen","FEHLER",IF(COUNTIF(V$63:V$65,"x")&lt;&gt;1,"FEHLER",IF(V$63="x","gut",IF(V$64="x","mässig","schlecht"))))</f>
        <v>FEHLER</v>
      </c>
      <c r="W66" s="99" t="s">
        <v>45</v>
      </c>
      <c r="X66" s="20"/>
      <c r="Y66" s="18"/>
      <c r="Z66" s="25" t="str">
        <f>IF('(1) Grundlagen'!$H$50="Bitte wählen","FEHLER",IF(COUNTIF(Z$63:Z$65,"x")&lt;&gt;1,"FEHLER",IF(Z$63="x","gut",IF(Z$64="x","mässig","schlecht"))))</f>
        <v>FEHLER</v>
      </c>
      <c r="AA66" s="99" t="s">
        <v>45</v>
      </c>
      <c r="AB66" s="18"/>
      <c r="AD66" s="283"/>
      <c r="AF66" s="28"/>
      <c r="AG66" s="28"/>
      <c r="AH66" s="28"/>
      <c r="AI66" s="27"/>
      <c r="AJ66" s="27"/>
      <c r="AK66" s="28"/>
      <c r="AL66" s="28"/>
      <c r="AO66" s="7"/>
    </row>
    <row r="67" spans="3:41" s="5" customFormat="1" ht="15" customHeight="1" x14ac:dyDescent="0.25">
      <c r="C67" s="28"/>
      <c r="D67" s="28"/>
      <c r="E67" s="28"/>
      <c r="F67" s="28"/>
      <c r="G67" s="28"/>
      <c r="H67" s="28"/>
      <c r="I67" s="28"/>
      <c r="J67" s="18"/>
      <c r="K67" s="18"/>
      <c r="L67" s="18"/>
      <c r="M67" s="18"/>
      <c r="N67" s="18"/>
      <c r="O67" s="18"/>
      <c r="P67" s="18"/>
      <c r="Q67" s="18"/>
      <c r="R67" s="18"/>
      <c r="S67" s="18"/>
      <c r="T67" s="18"/>
      <c r="U67" s="18"/>
      <c r="V67" s="18"/>
      <c r="W67" s="18"/>
      <c r="X67" s="18"/>
      <c r="Y67" s="18"/>
      <c r="Z67" s="18"/>
      <c r="AA67" s="18"/>
      <c r="AB67" s="18"/>
      <c r="AD67" s="283"/>
      <c r="AF67" s="28"/>
      <c r="AG67" s="28"/>
      <c r="AH67" s="28"/>
      <c r="AI67" s="27"/>
      <c r="AJ67" s="27"/>
      <c r="AK67" s="28"/>
      <c r="AL67" s="28"/>
      <c r="AO67" s="7"/>
    </row>
    <row r="68" spans="3:41" s="5" customFormat="1" ht="15" customHeight="1" x14ac:dyDescent="0.25">
      <c r="J68" s="1"/>
      <c r="K68" s="1"/>
      <c r="L68" s="1"/>
      <c r="M68" s="1"/>
      <c r="N68" s="1"/>
      <c r="O68" s="1"/>
      <c r="P68" s="1"/>
      <c r="Q68" s="1"/>
      <c r="R68" s="1"/>
      <c r="S68" s="1"/>
      <c r="T68" s="1"/>
      <c r="U68" s="1"/>
      <c r="V68" s="1"/>
      <c r="W68" s="1"/>
      <c r="X68" s="1"/>
      <c r="Y68" s="1"/>
      <c r="Z68" s="1"/>
      <c r="AA68" s="1"/>
      <c r="AB68" s="1"/>
      <c r="AD68" s="283"/>
      <c r="AI68" s="6"/>
      <c r="AO68" s="7"/>
    </row>
    <row r="69" spans="3:41" s="5" customFormat="1" ht="15" customHeight="1" x14ac:dyDescent="0.25">
      <c r="J69" s="1"/>
      <c r="K69" s="1"/>
      <c r="L69" s="1"/>
      <c r="M69" s="1"/>
      <c r="N69" s="1"/>
      <c r="O69" s="1"/>
      <c r="P69" s="1"/>
      <c r="Q69" s="1"/>
      <c r="R69" s="1"/>
      <c r="S69" s="1"/>
      <c r="T69" s="1"/>
      <c r="U69" s="1"/>
      <c r="V69" s="1"/>
      <c r="W69" s="1"/>
      <c r="X69" s="1"/>
      <c r="Y69" s="1"/>
      <c r="Z69" s="1"/>
      <c r="AA69" s="1"/>
      <c r="AB69" s="1"/>
      <c r="AD69" s="283"/>
      <c r="AI69" s="6"/>
      <c r="AO69" s="7"/>
    </row>
    <row r="70" spans="3:41" s="5" customFormat="1" ht="15" customHeight="1" x14ac:dyDescent="0.25">
      <c r="C70" s="266" t="s">
        <v>350</v>
      </c>
      <c r="D70" s="266"/>
      <c r="E70" s="266"/>
      <c r="F70" s="266"/>
      <c r="G70" s="28"/>
      <c r="H70" s="28"/>
      <c r="I70" s="28"/>
      <c r="J70" s="18"/>
      <c r="K70" s="18"/>
      <c r="L70" s="18"/>
      <c r="M70" s="18"/>
      <c r="N70" s="18"/>
      <c r="O70" s="18"/>
      <c r="P70" s="18"/>
      <c r="Q70" s="18"/>
      <c r="R70" s="18"/>
      <c r="S70" s="18"/>
      <c r="T70" s="18"/>
      <c r="U70" s="18"/>
      <c r="V70" s="18"/>
      <c r="W70" s="18"/>
      <c r="X70" s="18"/>
      <c r="Y70" s="18"/>
      <c r="Z70" s="18"/>
      <c r="AA70" s="18"/>
      <c r="AB70" s="18"/>
      <c r="AD70" s="283"/>
      <c r="AF70" s="28"/>
      <c r="AG70" s="28"/>
      <c r="AH70" s="28"/>
      <c r="AI70" s="27"/>
      <c r="AJ70" s="28"/>
      <c r="AK70" s="28"/>
      <c r="AL70" s="28"/>
      <c r="AO70" s="7"/>
    </row>
    <row r="71" spans="3:41" s="5" customFormat="1" ht="15" customHeight="1" x14ac:dyDescent="0.25">
      <c r="C71" s="28"/>
      <c r="D71" s="321" t="s">
        <v>255</v>
      </c>
      <c r="E71" s="329"/>
      <c r="F71" s="329"/>
      <c r="G71" s="329"/>
      <c r="H71" s="182"/>
      <c r="I71" s="70"/>
      <c r="J71" s="316" t="str">
        <f>IF(ISBLANK('(3) Variantenbewertung'!$I$11),"",'(3) Variantenbewertung'!$I$11)</f>
        <v>V1</v>
      </c>
      <c r="K71" s="316"/>
      <c r="L71" s="18"/>
      <c r="M71" s="18"/>
      <c r="N71" s="316" t="str">
        <f>IF(ISBLANK('(3) Variantenbewertung'!$L$11),"",'(3) Variantenbewertung'!$L$11)</f>
        <v>V2</v>
      </c>
      <c r="O71" s="316"/>
      <c r="P71" s="18"/>
      <c r="Q71" s="18"/>
      <c r="R71" s="316" t="str">
        <f>IF(ISBLANK('(3) Variantenbewertung'!$O$11),"",'(3) Variantenbewertung'!$O$11)</f>
        <v>V3</v>
      </c>
      <c r="S71" s="316"/>
      <c r="T71" s="55"/>
      <c r="U71" s="18"/>
      <c r="V71" s="316" t="str">
        <f>IF(ISBLANK('(3) Variantenbewertung'!$R$11),"",'(3) Variantenbewertung'!$R$11)</f>
        <v/>
      </c>
      <c r="W71" s="316"/>
      <c r="X71" s="18"/>
      <c r="Y71" s="18"/>
      <c r="Z71" s="316" t="str">
        <f>IF(ISBLANK('(3) Variantenbewertung'!$U$11),"",'(3) Variantenbewertung'!$U$11)</f>
        <v/>
      </c>
      <c r="AA71" s="316"/>
      <c r="AB71" s="18"/>
      <c r="AD71" s="283"/>
      <c r="AF71" s="28"/>
      <c r="AG71" s="28"/>
      <c r="AH71" s="28"/>
      <c r="AI71" s="27"/>
      <c r="AJ71" s="28"/>
      <c r="AK71" s="28"/>
      <c r="AL71" s="28"/>
      <c r="AO71" s="7"/>
    </row>
    <row r="72" spans="3:41" s="5" customFormat="1" ht="15" customHeight="1" x14ac:dyDescent="0.25">
      <c r="C72" s="28"/>
      <c r="D72" s="329"/>
      <c r="E72" s="329"/>
      <c r="F72" s="329"/>
      <c r="G72" s="329"/>
      <c r="H72" s="182"/>
      <c r="I72" s="28"/>
      <c r="J72" s="132" t="s">
        <v>221</v>
      </c>
      <c r="K72" s="133" t="s">
        <v>222</v>
      </c>
      <c r="L72" s="126"/>
      <c r="M72" s="17"/>
      <c r="N72" s="132" t="s">
        <v>221</v>
      </c>
      <c r="O72" s="133" t="s">
        <v>222</v>
      </c>
      <c r="P72" s="126"/>
      <c r="Q72" s="17"/>
      <c r="R72" s="132" t="s">
        <v>221</v>
      </c>
      <c r="S72" s="133" t="s">
        <v>222</v>
      </c>
      <c r="T72" s="126"/>
      <c r="U72" s="17"/>
      <c r="V72" s="132" t="s">
        <v>221</v>
      </c>
      <c r="W72" s="133" t="s">
        <v>222</v>
      </c>
      <c r="X72" s="126"/>
      <c r="Y72" s="17"/>
      <c r="Z72" s="132" t="s">
        <v>221</v>
      </c>
      <c r="AA72" s="133" t="s">
        <v>222</v>
      </c>
      <c r="AB72" s="17"/>
      <c r="AD72" s="283"/>
      <c r="AF72" s="28"/>
      <c r="AG72" s="28"/>
      <c r="AH72" s="266"/>
      <c r="AI72" s="266"/>
      <c r="AJ72" s="266"/>
      <c r="AK72" s="266"/>
      <c r="AL72" s="266"/>
      <c r="AO72" s="7"/>
    </row>
    <row r="73" spans="3:41" s="5" customFormat="1" ht="15" customHeight="1" x14ac:dyDescent="0.25">
      <c r="C73" s="28"/>
      <c r="D73" s="28"/>
      <c r="E73" s="28"/>
      <c r="F73" s="28"/>
      <c r="G73" s="28"/>
      <c r="H73" s="28"/>
      <c r="I73" s="28"/>
      <c r="J73" s="25" t="s">
        <v>37</v>
      </c>
      <c r="K73" s="53" t="str">
        <f>IF(NOT(K80="keine Korrektur"),"Bitte begründen:","")</f>
        <v/>
      </c>
      <c r="L73" s="20"/>
      <c r="M73" s="20"/>
      <c r="N73" s="25" t="s">
        <v>37</v>
      </c>
      <c r="O73" s="53" t="str">
        <f>IF(NOT(O80="keine Korrektur"),"Bitte begründen:","")</f>
        <v/>
      </c>
      <c r="P73" s="20"/>
      <c r="Q73" s="20"/>
      <c r="R73" s="25" t="s">
        <v>37</v>
      </c>
      <c r="S73" s="53" t="str">
        <f>IF(NOT(S80="keine Korrektur"),"Bitte begründen:","")</f>
        <v/>
      </c>
      <c r="T73" s="20"/>
      <c r="U73" s="20"/>
      <c r="V73" s="25" t="s">
        <v>37</v>
      </c>
      <c r="W73" s="53" t="str">
        <f>IF(NOT(W80="keine Korrektur"),"Bitte begründen:","")</f>
        <v/>
      </c>
      <c r="X73" s="20"/>
      <c r="Y73" s="20"/>
      <c r="Z73" s="25" t="s">
        <v>37</v>
      </c>
      <c r="AA73" s="53" t="str">
        <f>IF(NOT(AA80="keine Korrektur"),"Bitte begründen:","")</f>
        <v/>
      </c>
      <c r="AB73" s="17"/>
      <c r="AD73" s="283"/>
      <c r="AF73" s="27"/>
      <c r="AG73" s="28"/>
      <c r="AH73" s="27"/>
      <c r="AI73" s="292" t="s">
        <v>6</v>
      </c>
      <c r="AJ73" s="293"/>
      <c r="AK73" s="292" t="s">
        <v>7</v>
      </c>
      <c r="AL73" s="293"/>
      <c r="AM73" s="6"/>
      <c r="AN73" s="6"/>
      <c r="AO73" s="6"/>
    </row>
    <row r="74" spans="3:41" s="5" customFormat="1" ht="15" customHeight="1" x14ac:dyDescent="0.25">
      <c r="C74" s="28"/>
      <c r="D74" s="30"/>
      <c r="E74" s="259" t="s">
        <v>162</v>
      </c>
      <c r="F74" s="25" t="str">
        <f>AI74</f>
        <v>&gt; 5 m</v>
      </c>
      <c r="G74" s="28"/>
      <c r="H74" s="28"/>
      <c r="I74" s="28"/>
      <c r="J74" s="223">
        <v>10</v>
      </c>
      <c r="K74" s="318"/>
      <c r="L74" s="20"/>
      <c r="M74" s="18"/>
      <c r="N74" s="223">
        <v>25</v>
      </c>
      <c r="O74" s="318"/>
      <c r="P74" s="20"/>
      <c r="Q74" s="18"/>
      <c r="R74" s="223">
        <v>4</v>
      </c>
      <c r="S74" s="318"/>
      <c r="T74" s="20"/>
      <c r="U74" s="20"/>
      <c r="V74" s="223"/>
      <c r="W74" s="318"/>
      <c r="X74" s="20"/>
      <c r="Y74" s="18"/>
      <c r="Z74" s="223"/>
      <c r="AA74" s="318"/>
      <c r="AB74" s="18"/>
      <c r="AD74" s="283"/>
      <c r="AF74" s="30"/>
      <c r="AG74" s="305" t="s">
        <v>10</v>
      </c>
      <c r="AH74" s="306"/>
      <c r="AI74" s="307" t="s">
        <v>76</v>
      </c>
      <c r="AJ74" s="308"/>
      <c r="AK74" s="307" t="s">
        <v>79</v>
      </c>
      <c r="AL74" s="308"/>
      <c r="AM74" s="9"/>
      <c r="AN74" s="9"/>
      <c r="AO74" s="9"/>
    </row>
    <row r="75" spans="3:41" s="5" customFormat="1" ht="15" customHeight="1" x14ac:dyDescent="0.25">
      <c r="C75" s="28"/>
      <c r="D75" s="31"/>
      <c r="E75" s="259"/>
      <c r="F75" s="25" t="str">
        <f>AI75</f>
        <v>4 bis 5 m</v>
      </c>
      <c r="G75" s="28"/>
      <c r="H75" s="28"/>
      <c r="I75" s="28"/>
      <c r="J75" s="223"/>
      <c r="K75" s="319"/>
      <c r="L75" s="20"/>
      <c r="M75" s="18"/>
      <c r="N75" s="223"/>
      <c r="O75" s="319"/>
      <c r="P75" s="20"/>
      <c r="Q75" s="18"/>
      <c r="R75" s="223"/>
      <c r="S75" s="319"/>
      <c r="T75" s="20"/>
      <c r="U75" s="18"/>
      <c r="V75" s="223"/>
      <c r="W75" s="319"/>
      <c r="X75" s="20"/>
      <c r="Y75" s="18"/>
      <c r="Z75" s="223"/>
      <c r="AA75" s="319"/>
      <c r="AB75" s="18"/>
      <c r="AD75" s="283"/>
      <c r="AF75" s="31"/>
      <c r="AG75" s="305" t="s">
        <v>42</v>
      </c>
      <c r="AH75" s="306"/>
      <c r="AI75" s="307" t="s">
        <v>77</v>
      </c>
      <c r="AJ75" s="308"/>
      <c r="AK75" s="307" t="s">
        <v>80</v>
      </c>
      <c r="AL75" s="308"/>
      <c r="AO75" s="7"/>
    </row>
    <row r="76" spans="3:41" s="5" customFormat="1" ht="15" customHeight="1" x14ac:dyDescent="0.25">
      <c r="C76" s="28"/>
      <c r="D76" s="32"/>
      <c r="E76" s="259"/>
      <c r="F76" s="25" t="str">
        <f>AI76</f>
        <v>&lt; 4 m</v>
      </c>
      <c r="G76" s="28"/>
      <c r="H76" s="28"/>
      <c r="I76" s="28"/>
      <c r="J76" s="223"/>
      <c r="K76" s="319"/>
      <c r="L76" s="20"/>
      <c r="M76" s="18"/>
      <c r="N76" s="223"/>
      <c r="O76" s="319"/>
      <c r="P76" s="20"/>
      <c r="Q76" s="18"/>
      <c r="R76" s="223"/>
      <c r="S76" s="319"/>
      <c r="T76" s="20"/>
      <c r="U76" s="18"/>
      <c r="V76" s="223"/>
      <c r="W76" s="319"/>
      <c r="X76" s="20"/>
      <c r="Y76" s="18"/>
      <c r="Z76" s="223"/>
      <c r="AA76" s="319"/>
      <c r="AB76" s="18"/>
      <c r="AD76" s="283"/>
      <c r="AF76" s="32"/>
      <c r="AG76" s="305" t="s">
        <v>43</v>
      </c>
      <c r="AH76" s="306"/>
      <c r="AI76" s="307" t="s">
        <v>78</v>
      </c>
      <c r="AJ76" s="308"/>
      <c r="AK76" s="307" t="s">
        <v>81</v>
      </c>
      <c r="AL76" s="308"/>
      <c r="AO76" s="7"/>
    </row>
    <row r="77" spans="3:41" s="5" customFormat="1" ht="15" customHeight="1" x14ac:dyDescent="0.25">
      <c r="C77" s="28"/>
      <c r="D77" s="30"/>
      <c r="E77" s="314" t="s">
        <v>163</v>
      </c>
      <c r="F77" s="25" t="str">
        <f>AK74</f>
        <v>&gt; 10 m</v>
      </c>
      <c r="G77" s="28"/>
      <c r="H77" s="28"/>
      <c r="I77" s="28"/>
      <c r="J77" s="261"/>
      <c r="K77" s="319"/>
      <c r="L77" s="20"/>
      <c r="M77" s="18"/>
      <c r="N77" s="261"/>
      <c r="O77" s="319"/>
      <c r="P77" s="20"/>
      <c r="Q77" s="18"/>
      <c r="R77" s="261"/>
      <c r="S77" s="319"/>
      <c r="T77" s="20"/>
      <c r="U77" s="18"/>
      <c r="V77" s="261"/>
      <c r="W77" s="319"/>
      <c r="X77" s="20"/>
      <c r="Y77" s="18"/>
      <c r="Z77" s="261"/>
      <c r="AA77" s="319"/>
      <c r="AB77" s="18"/>
      <c r="AD77" s="90"/>
      <c r="AF77" s="28"/>
      <c r="AG77" s="46"/>
      <c r="AH77" s="46"/>
      <c r="AI77" s="20"/>
      <c r="AJ77" s="20"/>
      <c r="AK77" s="20"/>
      <c r="AL77" s="20"/>
      <c r="AO77" s="7"/>
    </row>
    <row r="78" spans="3:41" s="5" customFormat="1" ht="15" customHeight="1" x14ac:dyDescent="0.25">
      <c r="C78" s="28"/>
      <c r="D78" s="31"/>
      <c r="E78" s="314"/>
      <c r="F78" s="25" t="str">
        <f>AK75</f>
        <v>8 bis 10 m</v>
      </c>
      <c r="G78" s="28"/>
      <c r="H78" s="28"/>
      <c r="I78" s="28"/>
      <c r="J78" s="317"/>
      <c r="K78" s="319"/>
      <c r="L78" s="20"/>
      <c r="M78" s="18"/>
      <c r="N78" s="317"/>
      <c r="O78" s="319"/>
      <c r="P78" s="20"/>
      <c r="Q78" s="18"/>
      <c r="R78" s="317"/>
      <c r="S78" s="319"/>
      <c r="T78" s="20"/>
      <c r="U78" s="18"/>
      <c r="V78" s="317"/>
      <c r="W78" s="319"/>
      <c r="X78" s="20"/>
      <c r="Y78" s="18"/>
      <c r="Z78" s="317"/>
      <c r="AA78" s="319"/>
      <c r="AB78" s="18"/>
      <c r="AD78" s="90"/>
      <c r="AF78" s="28"/>
      <c r="AG78" s="46"/>
      <c r="AH78" s="46"/>
      <c r="AI78" s="20"/>
      <c r="AJ78" s="20"/>
      <c r="AK78" s="20"/>
      <c r="AL78" s="20"/>
      <c r="AO78" s="7"/>
    </row>
    <row r="79" spans="3:41" s="5" customFormat="1" ht="15" customHeight="1" x14ac:dyDescent="0.25">
      <c r="C79" s="28"/>
      <c r="D79" s="32"/>
      <c r="E79" s="314"/>
      <c r="F79" s="25" t="str">
        <f>AK76</f>
        <v>&lt; 8 m</v>
      </c>
      <c r="G79" s="28"/>
      <c r="H79" s="28"/>
      <c r="I79" s="28"/>
      <c r="J79" s="262"/>
      <c r="K79" s="320"/>
      <c r="L79" s="20"/>
      <c r="M79" s="18"/>
      <c r="N79" s="262"/>
      <c r="O79" s="320"/>
      <c r="P79" s="20"/>
      <c r="Q79" s="18"/>
      <c r="R79" s="262"/>
      <c r="S79" s="320"/>
      <c r="T79" s="20"/>
      <c r="U79" s="18"/>
      <c r="V79" s="262"/>
      <c r="W79" s="320"/>
      <c r="X79" s="20"/>
      <c r="Y79" s="18"/>
      <c r="Z79" s="262"/>
      <c r="AA79" s="320"/>
      <c r="AB79" s="18"/>
      <c r="AD79" s="90"/>
      <c r="AF79" s="28"/>
      <c r="AG79" s="46"/>
      <c r="AH79" s="46"/>
      <c r="AI79" s="20"/>
      <c r="AJ79" s="20"/>
      <c r="AK79" s="20"/>
      <c r="AL79" s="20"/>
      <c r="AO79" s="7"/>
    </row>
    <row r="80" spans="3:41" s="5" customFormat="1" ht="15" customHeight="1" x14ac:dyDescent="0.25">
      <c r="C80" s="28"/>
      <c r="D80" s="28"/>
      <c r="E80" s="28"/>
      <c r="F80" s="28"/>
      <c r="G80" s="28"/>
      <c r="H80" s="28"/>
      <c r="I80" s="28"/>
      <c r="J80" s="25" t="str">
        <f>IF(COUNT(J74:J79)&lt;&gt;1,"FEHLER",IF(ISNUMBER(J74),IF(J74&gt;=5,"gut",IF(AND(J74&gt;=4,J74&lt;5),"mässig","schlecht")),IF(J77&gt;=10,"gut",IF(AND(J77&gt;=8,J77&lt;10),"mässig","schlecht"))))</f>
        <v>gut</v>
      </c>
      <c r="K80" s="99" t="s">
        <v>45</v>
      </c>
      <c r="L80" s="20"/>
      <c r="M80" s="18"/>
      <c r="N80" s="25" t="str">
        <f>IF(COUNT(N74:N79)&lt;&gt;1,"FEHLER",IF(ISNUMBER(N74),IF(N74&gt;=5,"gut",IF(AND(N74&gt;=4,N74&lt;5),"mässig","schlecht")),IF(N77&gt;=10,"gut",IF(AND(N77&gt;=8,N77&lt;10),"mässig","schlecht"))))</f>
        <v>gut</v>
      </c>
      <c r="O80" s="99" t="s">
        <v>45</v>
      </c>
      <c r="P80" s="20"/>
      <c r="Q80" s="18"/>
      <c r="R80" s="25" t="str">
        <f>IF(COUNT(R74:R79)&lt;&gt;1,"FEHLER",IF(ISNUMBER(R74),IF(R74&gt;=5,"gut",IF(AND(R74&gt;=4,R74&lt;5),"mässig","schlecht")),IF(R77&gt;=10,"gut",IF(AND(R77&gt;=8,R77&lt;10),"mässig","schlecht"))))</f>
        <v>mässig</v>
      </c>
      <c r="S80" s="99" t="s">
        <v>45</v>
      </c>
      <c r="T80" s="20"/>
      <c r="U80" s="18"/>
      <c r="V80" s="25" t="str">
        <f>IF(COUNT(V74:V79)&lt;&gt;1,"FEHLER",IF(ISNUMBER(V74),IF(V74&gt;=5,"gut",IF(AND(V74&gt;=4,V74&lt;5),"mässig","schlecht")),IF(V77&gt;=10,"gut",IF(AND(V77&gt;=8,V77&lt;10),"mässig","schlecht"))))</f>
        <v>FEHLER</v>
      </c>
      <c r="W80" s="99" t="s">
        <v>45</v>
      </c>
      <c r="X80" s="20"/>
      <c r="Y80" s="18"/>
      <c r="Z80" s="25" t="str">
        <f>IF(COUNT(Z74:Z79)&lt;&gt;1,"FEHLER",IF(ISNUMBER(Z74),IF(Z74&gt;=5,"gut",IF(AND(Z74&gt;=4,Z74&lt;5),"mässig","schlecht")),IF(Z77&gt;=10,"gut",IF(AND(Z77&gt;=8,Z77&lt;10),"mässig","schlecht"))))</f>
        <v>FEHLER</v>
      </c>
      <c r="AA80" s="99" t="s">
        <v>45</v>
      </c>
      <c r="AB80" s="18"/>
      <c r="AD80" s="304" t="s">
        <v>44</v>
      </c>
      <c r="AF80" s="28"/>
      <c r="AG80" s="28"/>
      <c r="AH80" s="28"/>
      <c r="AI80" s="28"/>
      <c r="AJ80" s="28"/>
      <c r="AK80" s="28"/>
      <c r="AL80" s="28"/>
      <c r="AO80" s="7"/>
    </row>
    <row r="81" spans="2:41" s="5" customFormat="1" ht="15" customHeight="1" x14ac:dyDescent="0.25">
      <c r="C81" s="28"/>
      <c r="D81" s="28"/>
      <c r="E81" s="28"/>
      <c r="F81" s="28"/>
      <c r="G81" s="28"/>
      <c r="H81" s="28"/>
      <c r="I81" s="28"/>
      <c r="J81" s="18"/>
      <c r="K81" s="18"/>
      <c r="L81" s="18"/>
      <c r="M81" s="18"/>
      <c r="N81" s="18"/>
      <c r="O81" s="18"/>
      <c r="P81" s="18"/>
      <c r="Q81" s="18"/>
      <c r="R81" s="18"/>
      <c r="S81" s="18"/>
      <c r="T81" s="18"/>
      <c r="U81" s="18"/>
      <c r="V81" s="18"/>
      <c r="W81" s="18"/>
      <c r="X81" s="18"/>
      <c r="Y81" s="18"/>
      <c r="Z81" s="18"/>
      <c r="AA81" s="18"/>
      <c r="AB81" s="18"/>
      <c r="AD81" s="304"/>
      <c r="AF81" s="28"/>
      <c r="AG81" s="28"/>
      <c r="AH81" s="28"/>
      <c r="AI81" s="28"/>
      <c r="AJ81" s="28"/>
      <c r="AK81" s="28"/>
      <c r="AL81" s="28"/>
      <c r="AO81" s="7"/>
    </row>
    <row r="82" spans="2:41" s="5" customFormat="1" ht="15" customHeight="1" x14ac:dyDescent="0.25">
      <c r="J82" s="1"/>
      <c r="K82" s="1"/>
      <c r="L82" s="1"/>
      <c r="M82" s="1"/>
      <c r="N82" s="1"/>
      <c r="O82" s="1"/>
      <c r="P82" s="1"/>
      <c r="Q82" s="1"/>
      <c r="R82" s="1"/>
      <c r="S82" s="1"/>
      <c r="T82" s="1"/>
      <c r="U82" s="1"/>
      <c r="V82" s="1"/>
      <c r="W82" s="1"/>
      <c r="X82" s="1"/>
      <c r="Y82" s="1"/>
      <c r="Z82" s="1"/>
      <c r="AA82" s="1"/>
      <c r="AB82" s="1"/>
      <c r="AD82" s="304"/>
      <c r="AO82" s="7"/>
    </row>
    <row r="83" spans="2:41" s="5" customFormat="1" ht="15" customHeight="1" x14ac:dyDescent="0.25">
      <c r="J83" s="1"/>
      <c r="K83" s="1"/>
      <c r="L83" s="1"/>
      <c r="M83" s="1"/>
      <c r="N83" s="1"/>
      <c r="O83" s="1"/>
      <c r="P83" s="1"/>
      <c r="Q83" s="1"/>
      <c r="R83" s="1"/>
      <c r="S83" s="1"/>
      <c r="T83" s="1"/>
      <c r="U83" s="1"/>
      <c r="V83" s="1"/>
      <c r="W83" s="1"/>
      <c r="X83" s="1"/>
      <c r="Y83" s="1"/>
      <c r="Z83" s="1"/>
      <c r="AA83" s="1"/>
      <c r="AB83" s="1"/>
      <c r="AD83" s="51"/>
      <c r="AO83" s="7"/>
    </row>
    <row r="84" spans="2:41" s="5" customFormat="1" ht="15" customHeight="1" x14ac:dyDescent="0.25">
      <c r="J84" s="1"/>
      <c r="K84" s="1"/>
      <c r="L84" s="1"/>
      <c r="M84" s="1"/>
      <c r="N84" s="1"/>
      <c r="O84" s="1"/>
      <c r="P84" s="1"/>
      <c r="Q84" s="1"/>
      <c r="R84" s="1"/>
      <c r="S84" s="1"/>
      <c r="T84" s="1"/>
      <c r="U84" s="1"/>
      <c r="V84" s="1"/>
      <c r="W84" s="1"/>
      <c r="X84" s="1"/>
      <c r="Y84" s="1"/>
      <c r="Z84" s="1"/>
      <c r="AA84" s="1"/>
      <c r="AB84" s="1"/>
      <c r="AD84" s="51"/>
      <c r="AO84" s="7"/>
    </row>
    <row r="85" spans="2:41" s="5" customFormat="1" ht="15" customHeight="1" x14ac:dyDescent="0.25">
      <c r="C85" s="2"/>
      <c r="D85" s="2"/>
      <c r="E85" s="2"/>
      <c r="F85" s="38"/>
      <c r="G85" s="29"/>
      <c r="H85" s="29"/>
      <c r="I85" s="29"/>
      <c r="J85" s="34"/>
      <c r="K85" s="34"/>
      <c r="L85" s="34"/>
      <c r="M85" s="34"/>
      <c r="N85" s="34"/>
      <c r="O85" s="34"/>
      <c r="P85" s="34"/>
      <c r="Q85" s="34"/>
      <c r="R85" s="34"/>
      <c r="S85" s="34"/>
      <c r="T85" s="34"/>
      <c r="U85" s="34"/>
      <c r="V85" s="34"/>
      <c r="W85" s="34"/>
      <c r="X85" s="34"/>
      <c r="Y85" s="34"/>
      <c r="Z85" s="34"/>
      <c r="AA85" s="34"/>
      <c r="AB85" s="34"/>
      <c r="AD85" s="51"/>
      <c r="AO85" s="7"/>
    </row>
    <row r="86" spans="2:41" s="5" customFormat="1" ht="15" customHeight="1" x14ac:dyDescent="0.25">
      <c r="F86" s="29"/>
      <c r="G86" s="29"/>
      <c r="H86" s="29"/>
      <c r="I86" s="29"/>
      <c r="J86" s="316" t="str">
        <f>IF(ISBLANK('(3) Variantenbewertung'!$I$11),"",'(3) Variantenbewertung'!$I$11)</f>
        <v>V1</v>
      </c>
      <c r="K86" s="316"/>
      <c r="L86" s="34"/>
      <c r="M86" s="34"/>
      <c r="N86" s="316" t="str">
        <f>IF(ISBLANK('(3) Variantenbewertung'!$L$11),"",'(3) Variantenbewertung'!$L$11)</f>
        <v>V2</v>
      </c>
      <c r="O86" s="316"/>
      <c r="P86" s="34"/>
      <c r="Q86" s="34"/>
      <c r="R86" s="316" t="str">
        <f>IF(ISBLANK('(3) Variantenbewertung'!$O$11),"",'(3) Variantenbewertung'!$O$11)</f>
        <v>V3</v>
      </c>
      <c r="S86" s="316"/>
      <c r="T86" s="81"/>
      <c r="U86" s="34"/>
      <c r="V86" s="316" t="str">
        <f>IF(ISBLANK('(3) Variantenbewertung'!$R$11),"",'(3) Variantenbewertung'!$R$11)</f>
        <v/>
      </c>
      <c r="W86" s="316"/>
      <c r="X86" s="34"/>
      <c r="Y86" s="34"/>
      <c r="Z86" s="316" t="str">
        <f>IF(ISBLANK('(3) Variantenbewertung'!$U$11),"",'(3) Variantenbewertung'!$U$11)</f>
        <v/>
      </c>
      <c r="AA86" s="316"/>
      <c r="AB86" s="34"/>
      <c r="AD86" s="51"/>
      <c r="AO86" s="7"/>
    </row>
    <row r="87" spans="2:41" s="5" customFormat="1" ht="15" customHeight="1" x14ac:dyDescent="0.25">
      <c r="F87" s="29"/>
      <c r="G87" s="29"/>
      <c r="H87" s="29"/>
      <c r="I87" s="29"/>
      <c r="J87" s="132" t="s">
        <v>221</v>
      </c>
      <c r="K87" s="133" t="s">
        <v>222</v>
      </c>
      <c r="L87" s="82"/>
      <c r="M87" s="24"/>
      <c r="N87" s="132" t="s">
        <v>221</v>
      </c>
      <c r="O87" s="133" t="s">
        <v>222</v>
      </c>
      <c r="P87" s="82"/>
      <c r="Q87" s="24"/>
      <c r="R87" s="132" t="s">
        <v>221</v>
      </c>
      <c r="S87" s="133" t="s">
        <v>222</v>
      </c>
      <c r="T87" s="82"/>
      <c r="U87" s="24"/>
      <c r="V87" s="132" t="s">
        <v>221</v>
      </c>
      <c r="W87" s="133" t="s">
        <v>222</v>
      </c>
      <c r="X87" s="82"/>
      <c r="Y87" s="24"/>
      <c r="Z87" s="132" t="s">
        <v>221</v>
      </c>
      <c r="AA87" s="133" t="s">
        <v>222</v>
      </c>
      <c r="AB87" s="24"/>
      <c r="AD87" s="51"/>
      <c r="AO87" s="7"/>
    </row>
    <row r="88" spans="2:41" s="5" customFormat="1" ht="15" customHeight="1" x14ac:dyDescent="0.25">
      <c r="F88" s="328" t="s">
        <v>351</v>
      </c>
      <c r="G88" s="328"/>
      <c r="H88" s="21"/>
      <c r="I88" s="29"/>
      <c r="J88" s="40" t="str">
        <f>IF(NOT(OR(COUNTIF(J30:J80,"FEHLER")&gt;=1,COUNTIF(J30:J80,"WERT?")&gt;=1)),IF(COUNTIF(J30:J80,"schlecht")&gt;=1,"schlecht",IF(COUNTIF(J30:J80,"mässig")&gt;=1,"mässig","gut")),"FEHLER")</f>
        <v>schlecht</v>
      </c>
      <c r="K88" s="40" t="str">
        <f>IF(J88="FEHLER","FEHLER",IF(COUNTIF(K30:K80,"schlecht*")&gt;=1,"schlecht",IF(COUNTIF(K30:K80,"mässig*")&gt;=1,"mässig",IF(COUNTIF(K30:K80,"gut*")&gt;=1,"gut",J88))))</f>
        <v>schlecht</v>
      </c>
      <c r="L88" s="34"/>
      <c r="M88" s="34"/>
      <c r="N88" s="40" t="str">
        <f>IF(NOT(OR(COUNTIF(N30:N80,"FEHLER")&gt;=1,COUNTIF(N30:N80,"WERT?")&gt;=1)),IF(COUNTIF(N30:N80,"schlecht")&gt;=1,"schlecht",IF(COUNTIF(N30:N80,"mässig")&gt;=1,"mässig","gut")),"FEHLER")</f>
        <v>gut</v>
      </c>
      <c r="O88" s="40" t="str">
        <f>IF(N88="FEHLER","FEHLER",IF(COUNTIF(O30:O80,"schlecht*")&gt;=1,"schlecht",IF(COUNTIF(O30:O80,"mässig*")&gt;=1,"mässig",IF(COUNTIF(O30:O80,"gut*")&gt;=1,"gut",N88))))</f>
        <v>schlecht</v>
      </c>
      <c r="P88" s="34"/>
      <c r="Q88" s="34"/>
      <c r="R88" s="40" t="str">
        <f>IF(NOT(OR(COUNTIF(R30:R80,"FEHLER")&gt;=1,COUNTIF(R30:R80,"WERT?")&gt;=1)),IF(COUNTIF(R30:R80,"schlecht")&gt;=1,"schlecht",IF(COUNTIF(R30:R80,"mässig")&gt;=1,"mässig","gut")),"FEHLER")</f>
        <v>schlecht</v>
      </c>
      <c r="S88" s="40" t="str">
        <f>IF(R88="FEHLER","FEHLER",IF(COUNTIF(S30:S80,"schlecht*")&gt;=1,"schlecht",IF(COUNTIF(S30:S80,"mässig*")&gt;=1,"mässig",IF(COUNTIF(S30:S80,"gut*")&gt;=1,"gut",R88))))</f>
        <v>schlecht</v>
      </c>
      <c r="T88" s="34"/>
      <c r="U88" s="34"/>
      <c r="V88" s="40" t="str">
        <f>IF(NOT(OR(COUNTIF(V30:V80,"FEHLER")&gt;=1,COUNTIF(V30:V80,"WERT?")&gt;=1)),IF(COUNTIF(V30:V80,"schlecht")&gt;=1,"schlecht",IF(COUNTIF(V30:V80,"mässig")&gt;=1,"mässig","gut")),"FEHLER")</f>
        <v>FEHLER</v>
      </c>
      <c r="W88" s="40" t="str">
        <f>IF(V88="FEHLER","FEHLER",IF(COUNTIF(W30:W80,"schlecht*")&gt;=1,"schlecht",IF(COUNTIF(W30:W80,"mässig*")&gt;=1,"mässig",IF(COUNTIF(W30:W80,"gut*")&gt;=1,"gut",V88))))</f>
        <v>FEHLER</v>
      </c>
      <c r="X88" s="34"/>
      <c r="Y88" s="34"/>
      <c r="Z88" s="40" t="str">
        <f>IF(NOT(OR(COUNTIF(Z30:Z80,"FEHLER")&gt;=1,COUNTIF(Z30:Z80,"WERT?")&gt;=1)),IF(COUNTIF(Z30:Z80,"schlecht")&gt;=1,"schlecht",IF(COUNTIF(Z30:Z80,"mässig")&gt;=1,"mässig","gut")),"FEHLER")</f>
        <v>FEHLER</v>
      </c>
      <c r="AA88" s="40" t="str">
        <f>IF(Z88="FEHLER","FEHLER",IF(COUNTIF(AA30:AA80,"schlecht*")&gt;=1,"schlecht",IF(COUNTIF(AA30:AA80,"mässig*")&gt;=1,"mässig",IF(COUNTIF(AA30:AA80,"gut*")&gt;=1,"gut",Z88))))</f>
        <v>FEHLER</v>
      </c>
      <c r="AB88" s="34"/>
      <c r="AD88" s="51"/>
      <c r="AO88" s="7"/>
    </row>
    <row r="89" spans="2:41" s="5" customFormat="1" ht="15" customHeight="1" x14ac:dyDescent="0.25">
      <c r="F89" s="327" t="s">
        <v>40</v>
      </c>
      <c r="G89" s="327"/>
      <c r="H89" s="183"/>
      <c r="I89" s="29"/>
      <c r="J89" s="40">
        <f>IF(J88="FEHLER","-",IF(J88="gut",3,IF(J88="mässig",2,1)))</f>
        <v>1</v>
      </c>
      <c r="K89" s="40">
        <f>IF(K88="FEHLER","-",IF(K88="gut",3,IF(K88="mässig",2,1)))</f>
        <v>1</v>
      </c>
      <c r="L89" s="34"/>
      <c r="M89" s="34"/>
      <c r="N89" s="40">
        <f>IF(N88="FEHLER","-",IF(N88="gut",3,IF(N88="mässig",2,1)))</f>
        <v>3</v>
      </c>
      <c r="O89" s="40">
        <f>IF(O88="FEHLER","-",IF(O88="gut",3,IF(O88="mässig",2,1)))</f>
        <v>1</v>
      </c>
      <c r="P89" s="34"/>
      <c r="Q89" s="34"/>
      <c r="R89" s="40">
        <f>IF(R88="FEHLER","-",IF(R88="gut",3,IF(R88="mässig",2,1)))</f>
        <v>1</v>
      </c>
      <c r="S89" s="40">
        <f>IF(S88="FEHLER","-",IF(S88="gut",3,IF(S88="mässig",2,1)))</f>
        <v>1</v>
      </c>
      <c r="T89" s="34"/>
      <c r="U89" s="34"/>
      <c r="V89" s="40" t="str">
        <f>IF(V88="FEHLER","-",IF(V88="gut",3,IF(V88="mässig",2,1)))</f>
        <v>-</v>
      </c>
      <c r="W89" s="40" t="str">
        <f>IF(W88="FEHLER","-",IF(W88="gut",3,IF(W88="mässig",2,1)))</f>
        <v>-</v>
      </c>
      <c r="X89" s="34"/>
      <c r="Y89" s="34"/>
      <c r="Z89" s="40" t="str">
        <f>IF(Z88="FEHLER","-",IF(Z88="gut",3,IF(Z88="mässig",2,1)))</f>
        <v>-</v>
      </c>
      <c r="AA89" s="40" t="str">
        <f>IF(AA88="FEHLER","-",IF(AA88="gut",3,IF(AA88="mässig",2,1)))</f>
        <v>-</v>
      </c>
      <c r="AB89" s="34"/>
      <c r="AD89" s="51"/>
      <c r="AO89" s="7"/>
    </row>
    <row r="90" spans="2:41" ht="15" customHeight="1" x14ac:dyDescent="0.25">
      <c r="F90" s="167"/>
      <c r="G90" s="167"/>
      <c r="H90" s="167"/>
      <c r="I90" s="167"/>
      <c r="J90" s="168"/>
      <c r="K90" s="168"/>
      <c r="L90" s="168"/>
      <c r="M90" s="168"/>
      <c r="N90" s="168"/>
      <c r="O90" s="168"/>
      <c r="P90" s="168"/>
      <c r="Q90" s="168"/>
      <c r="R90" s="168"/>
      <c r="S90" s="168"/>
      <c r="T90" s="168"/>
      <c r="U90" s="168"/>
      <c r="V90" s="168"/>
      <c r="W90" s="168"/>
      <c r="X90" s="168"/>
      <c r="Y90" s="168"/>
      <c r="Z90" s="168"/>
      <c r="AA90" s="168"/>
      <c r="AB90" s="168"/>
    </row>
    <row r="91" spans="2:41" ht="15" customHeight="1" x14ac:dyDescent="0.25"/>
    <row r="92" spans="2:41" ht="15" customHeight="1" x14ac:dyDescent="0.25"/>
    <row r="93" spans="2:41" s="5" customFormat="1" ht="15" customHeight="1" x14ac:dyDescent="0.25">
      <c r="J93" s="1"/>
      <c r="K93" s="1"/>
      <c r="L93" s="1"/>
      <c r="M93" s="1"/>
      <c r="N93" s="1"/>
      <c r="O93" s="1"/>
      <c r="P93" s="1"/>
      <c r="Q93" s="1"/>
      <c r="R93" s="1"/>
      <c r="S93" s="1"/>
      <c r="T93" s="1"/>
      <c r="U93" s="1"/>
      <c r="V93" s="1"/>
      <c r="W93" s="1"/>
      <c r="X93" s="1"/>
      <c r="Y93" s="1"/>
      <c r="Z93" s="1"/>
      <c r="AA93" s="1"/>
      <c r="AB93" s="1"/>
      <c r="AD93" s="51"/>
      <c r="AO93" s="7"/>
    </row>
    <row r="94" spans="2:41" s="5" customFormat="1" ht="15" customHeight="1" x14ac:dyDescent="0.25">
      <c r="B94" s="323" t="s">
        <v>352</v>
      </c>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D94" s="51"/>
      <c r="AF94" s="2"/>
      <c r="AH94" s="2"/>
      <c r="AI94" s="2"/>
      <c r="AJ94" s="2"/>
      <c r="AK94" s="2"/>
      <c r="AL94" s="2"/>
      <c r="AO94" s="7"/>
    </row>
    <row r="95" spans="2:41" s="5" customFormat="1" ht="15" customHeight="1" x14ac:dyDescent="0.25">
      <c r="E95" s="67">
        <f>'(1) Grundlagen'!$G$74</f>
        <v>0.8</v>
      </c>
      <c r="F95" s="152">
        <f>'(1) Grundlagen'!$G$75</f>
        <v>0.17</v>
      </c>
      <c r="G95" s="152">
        <f>'(1) Grundlagen'!$G$76</f>
        <v>0.1</v>
      </c>
      <c r="H95" s="152"/>
      <c r="J95" s="129"/>
      <c r="K95" s="1"/>
      <c r="L95" s="1"/>
      <c r="M95" s="1"/>
      <c r="N95" s="1"/>
      <c r="O95" s="1"/>
      <c r="P95" s="1"/>
      <c r="Q95" s="1"/>
      <c r="R95" s="1"/>
      <c r="S95" s="1"/>
      <c r="T95" s="1"/>
      <c r="U95" s="1"/>
      <c r="V95" s="1"/>
      <c r="W95" s="1"/>
      <c r="X95" s="1"/>
      <c r="Y95" s="1"/>
      <c r="Z95" s="1"/>
      <c r="AA95" s="1"/>
      <c r="AB95" s="1"/>
      <c r="AD95" s="51"/>
      <c r="AF95" s="6"/>
      <c r="AH95" s="6"/>
      <c r="AO95" s="7"/>
    </row>
    <row r="96" spans="2:41" s="5" customFormat="1" ht="15" customHeight="1" x14ac:dyDescent="0.25">
      <c r="J96" s="1"/>
      <c r="K96" s="1"/>
      <c r="L96" s="1"/>
      <c r="M96" s="1"/>
      <c r="N96" s="1"/>
      <c r="O96" s="1"/>
      <c r="P96" s="1"/>
      <c r="Q96" s="1"/>
      <c r="R96" s="1"/>
      <c r="S96" s="1"/>
      <c r="T96" s="1"/>
      <c r="U96" s="1"/>
      <c r="V96" s="1"/>
      <c r="W96" s="1"/>
      <c r="X96" s="1"/>
      <c r="Y96" s="1"/>
      <c r="Z96" s="1"/>
      <c r="AA96" s="1"/>
      <c r="AB96" s="1"/>
      <c r="AD96" s="51"/>
      <c r="AO96" s="7"/>
    </row>
    <row r="97" spans="3:41" s="5" customFormat="1" ht="15" customHeight="1" x14ac:dyDescent="0.25">
      <c r="C97" s="266" t="s">
        <v>353</v>
      </c>
      <c r="D97" s="266"/>
      <c r="E97" s="266"/>
      <c r="F97" s="266"/>
      <c r="G97" s="28"/>
      <c r="H97" s="28"/>
      <c r="I97" s="28"/>
      <c r="J97" s="18"/>
      <c r="K97" s="18"/>
      <c r="L97" s="18"/>
      <c r="M97" s="18"/>
      <c r="N97" s="18"/>
      <c r="O97" s="18"/>
      <c r="P97" s="18"/>
      <c r="Q97" s="18"/>
      <c r="R97" s="18"/>
      <c r="S97" s="18"/>
      <c r="T97" s="18"/>
      <c r="U97" s="18"/>
      <c r="V97" s="18"/>
      <c r="W97" s="18"/>
      <c r="X97" s="18"/>
      <c r="Y97" s="18"/>
      <c r="Z97" s="18"/>
      <c r="AA97" s="18"/>
      <c r="AB97" s="18"/>
      <c r="AD97" s="51"/>
      <c r="AF97" s="27"/>
      <c r="AG97" s="28"/>
      <c r="AH97" s="27"/>
      <c r="AI97" s="46"/>
      <c r="AJ97" s="47"/>
      <c r="AK97" s="47"/>
      <c r="AL97" s="47"/>
      <c r="AO97" s="7"/>
    </row>
    <row r="98" spans="3:41" s="5" customFormat="1" ht="15" customHeight="1" x14ac:dyDescent="0.25">
      <c r="C98" s="28"/>
      <c r="D98" s="263" t="s">
        <v>303</v>
      </c>
      <c r="E98" s="263"/>
      <c r="F98" s="263"/>
      <c r="G98" s="263"/>
      <c r="H98" s="180"/>
      <c r="I98" s="70"/>
      <c r="J98" s="316" t="str">
        <f>IF(ISBLANK('(3) Variantenbewertung'!$I$11),"",'(3) Variantenbewertung'!$I$11)</f>
        <v>V1</v>
      </c>
      <c r="K98" s="316"/>
      <c r="L98" s="18"/>
      <c r="M98" s="18"/>
      <c r="N98" s="316" t="str">
        <f>IF(ISBLANK('(3) Variantenbewertung'!$L$11),"",'(3) Variantenbewertung'!$L$11)</f>
        <v>V2</v>
      </c>
      <c r="O98" s="316"/>
      <c r="P98" s="18"/>
      <c r="Q98" s="18"/>
      <c r="R98" s="316" t="str">
        <f>IF(ISBLANK('(3) Variantenbewertung'!$O$11),"",'(3) Variantenbewertung'!$O$11)</f>
        <v>V3</v>
      </c>
      <c r="S98" s="316"/>
      <c r="T98" s="55"/>
      <c r="U98" s="18"/>
      <c r="V98" s="316" t="str">
        <f>IF(ISBLANK('(3) Variantenbewertung'!$R$11),"",'(3) Variantenbewertung'!$R$11)</f>
        <v/>
      </c>
      <c r="W98" s="316"/>
      <c r="X98" s="18"/>
      <c r="Y98" s="18"/>
      <c r="Z98" s="316" t="str">
        <f>IF(ISBLANK('(3) Variantenbewertung'!$U$11),"",'(3) Variantenbewertung'!$U$11)</f>
        <v/>
      </c>
      <c r="AA98" s="316"/>
      <c r="AB98" s="18"/>
      <c r="AD98" s="51"/>
      <c r="AF98" s="20"/>
      <c r="AG98" s="28"/>
      <c r="AH98" s="20"/>
      <c r="AI98" s="302" t="s">
        <v>11</v>
      </c>
      <c r="AJ98" s="292" t="s">
        <v>12</v>
      </c>
      <c r="AK98" s="301"/>
      <c r="AL98" s="293"/>
      <c r="AM98" s="6"/>
      <c r="AN98" s="6"/>
      <c r="AO98" s="9"/>
    </row>
    <row r="99" spans="3:41" s="5" customFormat="1" ht="15" customHeight="1" x14ac:dyDescent="0.25">
      <c r="C99" s="28"/>
      <c r="D99" s="263"/>
      <c r="E99" s="263"/>
      <c r="F99" s="263"/>
      <c r="G99" s="263"/>
      <c r="H99" s="180"/>
      <c r="I99" s="28"/>
      <c r="J99" s="132" t="s">
        <v>221</v>
      </c>
      <c r="K99" s="133" t="s">
        <v>222</v>
      </c>
      <c r="L99" s="126"/>
      <c r="M99" s="17"/>
      <c r="N99" s="132" t="s">
        <v>221</v>
      </c>
      <c r="O99" s="133" t="s">
        <v>222</v>
      </c>
      <c r="P99" s="126"/>
      <c r="Q99" s="17"/>
      <c r="R99" s="132" t="s">
        <v>221</v>
      </c>
      <c r="S99" s="133" t="s">
        <v>222</v>
      </c>
      <c r="T99" s="126"/>
      <c r="U99" s="17"/>
      <c r="V99" s="132" t="s">
        <v>221</v>
      </c>
      <c r="W99" s="133" t="s">
        <v>222</v>
      </c>
      <c r="X99" s="126"/>
      <c r="Y99" s="17"/>
      <c r="Z99" s="132" t="s">
        <v>221</v>
      </c>
      <c r="AA99" s="133" t="s">
        <v>222</v>
      </c>
      <c r="AB99" s="17"/>
      <c r="AD99" s="51"/>
      <c r="AF99" s="18"/>
      <c r="AG99" s="28"/>
      <c r="AH99" s="18"/>
      <c r="AI99" s="303"/>
      <c r="AJ99" s="37" t="s">
        <v>0</v>
      </c>
      <c r="AK99" s="37" t="s">
        <v>1</v>
      </c>
      <c r="AL99" s="37" t="s">
        <v>2</v>
      </c>
      <c r="AM99" s="6"/>
      <c r="AN99" s="6"/>
      <c r="AO99" s="9"/>
    </row>
    <row r="100" spans="3:41" s="5" customFormat="1" ht="15" customHeight="1" x14ac:dyDescent="0.25">
      <c r="C100" s="28"/>
      <c r="D100" s="28"/>
      <c r="E100" s="28"/>
      <c r="F100" s="28"/>
      <c r="G100" s="28"/>
      <c r="H100" s="28"/>
      <c r="I100" s="28"/>
      <c r="J100" s="25" t="s">
        <v>69</v>
      </c>
      <c r="K100" s="53" t="str">
        <f>IF(NOT(K104="keine Korrektur"),"Bitte begründen:","")</f>
        <v>Bitte begründen:</v>
      </c>
      <c r="L100" s="20"/>
      <c r="M100" s="20"/>
      <c r="N100" s="25" t="s">
        <v>69</v>
      </c>
      <c r="O100" s="53" t="str">
        <f>IF(NOT(O104="keine Korrektur"),"Bitte begründen:","")</f>
        <v/>
      </c>
      <c r="P100" s="20"/>
      <c r="Q100" s="20"/>
      <c r="R100" s="25" t="s">
        <v>69</v>
      </c>
      <c r="S100" s="53" t="str">
        <f>IF(NOT(S104="keine Korrektur"),"Bitte begründen:","")</f>
        <v/>
      </c>
      <c r="T100" s="20"/>
      <c r="U100" s="20"/>
      <c r="V100" s="25" t="s">
        <v>69</v>
      </c>
      <c r="W100" s="53" t="str">
        <f>IF(NOT(W104="keine Korrektur"),"Bitte begründen:","")</f>
        <v/>
      </c>
      <c r="X100" s="20"/>
      <c r="Y100" s="20"/>
      <c r="Z100" s="25" t="s">
        <v>69</v>
      </c>
      <c r="AA100" s="53" t="str">
        <f>IF(NOT(AA104="keine Korrektur"),"Bitte begründen:","")</f>
        <v/>
      </c>
      <c r="AB100" s="17"/>
      <c r="AD100" s="51"/>
      <c r="AF100" s="20"/>
      <c r="AG100" s="299" t="s">
        <v>249</v>
      </c>
      <c r="AH100" s="300"/>
      <c r="AI100" s="37" t="s">
        <v>269</v>
      </c>
      <c r="AJ100" s="37" t="s">
        <v>270</v>
      </c>
      <c r="AK100" s="37" t="s">
        <v>270</v>
      </c>
      <c r="AL100" s="37" t="s">
        <v>271</v>
      </c>
    </row>
    <row r="101" spans="3:41" s="5" customFormat="1" ht="15" customHeight="1" x14ac:dyDescent="0.25">
      <c r="C101" s="28"/>
      <c r="D101" s="30"/>
      <c r="E101" s="265" t="str">
        <f>IF($E$95=0,"Bitte auf Blatt (1) Referenzlänge eintragen","&gt; Bemessungswert")</f>
        <v>&gt; Bemessungswert</v>
      </c>
      <c r="F101" s="265"/>
      <c r="G101" s="28"/>
      <c r="H101" s="28"/>
      <c r="I101" s="128" t="str">
        <f>IF(OR(J$106="Bauweise wählen",J$107="Bauweise / Betriebsbedingungen wählen"),"FEHLER",IF($E$95=0,"","&gt; "&amp;ROUND(3*$E$95/J$106/J$107,2)&amp;" m"))</f>
        <v>&gt; 3 m</v>
      </c>
      <c r="J101" s="261">
        <v>2.95</v>
      </c>
      <c r="K101" s="315" t="s">
        <v>503</v>
      </c>
      <c r="L101" s="20"/>
      <c r="M101" s="128" t="str">
        <f>IF(OR(N$106="Bauweise wählen",N$107="Bauweise / Betriebsbedingungen wählen"),"FEHLER",IF($E$95=0,"","&gt; "&amp;ROUND(3*$E$95/N$106/N$107,2)&amp;" m"))</f>
        <v>&gt; 2.53 m</v>
      </c>
      <c r="N101" s="223">
        <v>2.2000000000000002</v>
      </c>
      <c r="O101" s="315"/>
      <c r="P101" s="20"/>
      <c r="Q101" s="128" t="str">
        <f>IF(OR(R$106="Bauweise wählen",R$107="Bauweise / Betriebsbedingungen wählen"),"FEHLER",IF($E$95=0,"","&gt; "&amp;ROUND(3*$E$95/R$106/R$107,2)&amp;" m"))</f>
        <v>&gt; 3 m</v>
      </c>
      <c r="R101" s="223">
        <v>4</v>
      </c>
      <c r="S101" s="315"/>
      <c r="T101" s="20"/>
      <c r="U101" s="128" t="str">
        <f>IF(OR(V$106="Bauweise wählen",V$107="Bauweise / Betriebsbedingungen wählen"),"FEHLER",IF($E$95=0,"","&gt; "&amp;ROUND(3*$E$95/V$106/V$107,2)&amp;" m"))</f>
        <v>FEHLER</v>
      </c>
      <c r="V101" s="223"/>
      <c r="W101" s="315"/>
      <c r="X101" s="20"/>
      <c r="Y101" s="128" t="str">
        <f>IF(OR(Z$106="Bauweise wählen",Z$107="Bauweise / Betriebsbedingungen wählen"),"FEHLER",IF($E$95=0,"","&gt; "&amp;ROUND(3*$E$95/Z$106/Z$107,2)&amp;" m"))</f>
        <v>FEHLER</v>
      </c>
      <c r="Z101" s="223"/>
      <c r="AA101" s="315"/>
      <c r="AB101" s="18"/>
      <c r="AD101" s="51"/>
      <c r="AF101" s="48"/>
      <c r="AG101" s="305" t="s">
        <v>10</v>
      </c>
      <c r="AH101" s="306"/>
      <c r="AI101" s="25" t="s">
        <v>319</v>
      </c>
      <c r="AJ101" s="25" t="s">
        <v>322</v>
      </c>
      <c r="AK101" s="25" t="s">
        <v>322</v>
      </c>
      <c r="AL101" s="25" t="s">
        <v>325</v>
      </c>
    </row>
    <row r="102" spans="3:41" s="5" customFormat="1" ht="15" customHeight="1" x14ac:dyDescent="0.25">
      <c r="C102" s="71">
        <v>0.8</v>
      </c>
      <c r="D102" s="35"/>
      <c r="E102" s="265" t="str">
        <f>IF($E$95=0,"","Grenzwert bis Bemessungswert")</f>
        <v>Grenzwert bis Bemessungswert</v>
      </c>
      <c r="F102" s="265"/>
      <c r="G102" s="28"/>
      <c r="H102" s="28"/>
      <c r="I102" s="128" t="str">
        <f>IF(OR(J$106="Bauweise wählen",J$107="Bauweise / Betriebsbedingungen wählen"),"",IF($E$95=0,"",ROUND(3*$E$95,2)&amp;" bis "&amp;ROUND(3*$E$95/J$106/J$107,2)&amp;" m"))</f>
        <v>2.4 bis 3 m</v>
      </c>
      <c r="J102" s="317"/>
      <c r="K102" s="315"/>
      <c r="L102" s="20"/>
      <c r="M102" s="128" t="str">
        <f>IF(OR(N$106="Bauweise wählen",N$107="Bauweise / Betriebsbedingungen wählen"),"",IF($E$95=0,"",ROUND(3*$E$95,2)&amp;" bis "&amp;ROUND(3*$E$95/N$106/N$107,2)&amp;" m"))</f>
        <v>2.4 bis 2.53 m</v>
      </c>
      <c r="N102" s="223"/>
      <c r="O102" s="315"/>
      <c r="P102" s="20"/>
      <c r="Q102" s="128" t="str">
        <f>IF(OR(R$106="Bauweise wählen",R$107="Bauweise / Betriebsbedingungen wählen"),"",IF($E$95=0,"",ROUND(3*$E$95,2)&amp;" bis "&amp;ROUND(3*$E$95/R$106/R$107,2)&amp;" m"))</f>
        <v>2.4 bis 3 m</v>
      </c>
      <c r="R102" s="223"/>
      <c r="S102" s="315"/>
      <c r="T102" s="20"/>
      <c r="U102" s="128" t="str">
        <f>IF(OR(V$106="Bauweise wählen",V$107="Bauweise / Betriebsbedingungen wählen"),"",IF($E$95=0,"",ROUND(3*$E$95,2)&amp;" bis "&amp;ROUND(3*$E$95/V$106/V$107,2)&amp;" m"))</f>
        <v/>
      </c>
      <c r="V102" s="223"/>
      <c r="W102" s="315"/>
      <c r="X102" s="20"/>
      <c r="Y102" s="128" t="str">
        <f>IF(OR(Z$106="Bauweise wählen",Z$107="Bauweise / Betriebsbedingungen wählen"),"",IF($E$95=0,"",ROUND(3*$E$95,2)&amp;" bis "&amp;ROUND(3*$E$95/Z$106/Z$107,2)&amp;" m"))</f>
        <v/>
      </c>
      <c r="Z102" s="223"/>
      <c r="AA102" s="315"/>
      <c r="AB102" s="18"/>
      <c r="AD102" s="51"/>
      <c r="AF102" s="49"/>
      <c r="AG102" s="305" t="s">
        <v>42</v>
      </c>
      <c r="AH102" s="306"/>
      <c r="AI102" s="25" t="s">
        <v>320</v>
      </c>
      <c r="AJ102" s="25" t="s">
        <v>323</v>
      </c>
      <c r="AK102" s="25" t="s">
        <v>323</v>
      </c>
      <c r="AL102" s="25" t="s">
        <v>326</v>
      </c>
    </row>
    <row r="103" spans="3:41" s="5" customFormat="1" ht="15" customHeight="1" x14ac:dyDescent="0.25">
      <c r="C103" s="28"/>
      <c r="D103" s="32"/>
      <c r="E103" s="265" t="str">
        <f>IF($E$95=0,"","&lt; Grenzwert")</f>
        <v>&lt; Grenzwert</v>
      </c>
      <c r="F103" s="265"/>
      <c r="G103" s="28"/>
      <c r="H103" s="28"/>
      <c r="I103" s="128" t="str">
        <f>IF(OR(J$106="Bauweise wählen",J$107="Bauweise / Betriebsbedingungen wählen"),"",IF($E$95=0,"","&lt; "&amp;ROUND(3*$E$95,2)&amp;" m"))</f>
        <v>&lt; 2.4 m</v>
      </c>
      <c r="J103" s="262"/>
      <c r="K103" s="315"/>
      <c r="L103" s="20"/>
      <c r="M103" s="128" t="str">
        <f>IF(OR(N$106="Bauweise wählen",N$107="Bauweise / Betriebsbedingungen wählen"),"",IF($E$95=0,"","&lt; "&amp;ROUND(3*$E$95,2)&amp;" m"))</f>
        <v>&lt; 2.4 m</v>
      </c>
      <c r="N103" s="223"/>
      <c r="O103" s="315"/>
      <c r="P103" s="20"/>
      <c r="Q103" s="128" t="str">
        <f>IF(OR(R$106="Bauweise wählen",R$107="Bauweise / Betriebsbedingungen wählen"),"",IF($E$95=0,"","&lt; "&amp;ROUND(3*$E$95,2)&amp;" m"))</f>
        <v>&lt; 2.4 m</v>
      </c>
      <c r="R103" s="223"/>
      <c r="S103" s="315"/>
      <c r="T103" s="20"/>
      <c r="U103" s="128" t="str">
        <f>IF(OR(V$106="Bauweise wählen",V$107="Bauweise / Betriebsbedingungen wählen"),"",IF($E$95=0,"","&lt; "&amp;ROUND(3*$E$95,2)&amp;" m"))</f>
        <v/>
      </c>
      <c r="V103" s="223"/>
      <c r="W103" s="315"/>
      <c r="X103" s="20"/>
      <c r="Y103" s="128" t="str">
        <f>IF(OR(Z$106="Bauweise wählen",Z$107="Bauweise / Betriebsbedingungen wählen"),"",IF($E$95=0,"","&lt; "&amp;ROUND(3*$E$95,2)&amp;" m"))</f>
        <v/>
      </c>
      <c r="Z103" s="223"/>
      <c r="AA103" s="315"/>
      <c r="AB103" s="18"/>
      <c r="AD103" s="51"/>
      <c r="AF103" s="50"/>
      <c r="AG103" s="305" t="s">
        <v>43</v>
      </c>
      <c r="AH103" s="306"/>
      <c r="AI103" s="25" t="s">
        <v>321</v>
      </c>
      <c r="AJ103" s="25" t="s">
        <v>324</v>
      </c>
      <c r="AK103" s="25" t="s">
        <v>324</v>
      </c>
      <c r="AL103" s="25" t="s">
        <v>327</v>
      </c>
    </row>
    <row r="104" spans="3:41" s="5" customFormat="1" ht="15" customHeight="1" x14ac:dyDescent="0.25">
      <c r="C104" s="28"/>
      <c r="D104" s="28"/>
      <c r="E104" s="28"/>
      <c r="F104" s="28"/>
      <c r="G104" s="28"/>
      <c r="H104" s="28"/>
      <c r="I104" s="28"/>
      <c r="J104" s="25" t="str">
        <f>IF(OR(ISBLANK(J101),NOT(ISNUMBER(J101))),"WERT?",IF(I101="FEHLER","FEHLER",IF(J101&gt;=ROUND(3*$E$95/J$106/$J107,1),"gut",IF(AND(J101&gt;=ROUND(3*$E$95,1),J101&lt;ROUND(3*$E$95/J$106/J$107,1)),"mässig","schlecht"))))</f>
        <v>mässig</v>
      </c>
      <c r="K104" s="99" t="s">
        <v>223</v>
      </c>
      <c r="L104" s="20"/>
      <c r="M104" s="18"/>
      <c r="N104" s="25" t="str">
        <f>IF(OR(ISBLANK(N101),NOT(ISNUMBER(N101))),"WERT?",IF(M101="FEHLER","FEHLER",IF(N101&gt;=ROUND(3*$E$95/N$106/N$107,1),"gut",IF(AND(N101&gt;=ROUND(3*$E$95,1),N101&lt;ROUND(3*$E$95/N$106/N$107,1)),"mässig","schlecht"))))</f>
        <v>schlecht</v>
      </c>
      <c r="O104" s="99" t="s">
        <v>45</v>
      </c>
      <c r="P104" s="20"/>
      <c r="Q104" s="18"/>
      <c r="R104" s="25" t="str">
        <f>IF(OR(ISBLANK(R101),NOT(ISNUMBER(R101))),"WERT?",IF(Q101="FEHLER","FEHLER",IF(R101&gt;=ROUND(3*$E$95/R$106/R$107,1),"gut",IF(AND(R101&gt;=ROUND(3*$E$95,1),R101&lt;ROUND(3*$E$95/R$106/R$107,1)),"mässig","schlecht"))))</f>
        <v>gut</v>
      </c>
      <c r="S104" s="99" t="s">
        <v>45</v>
      </c>
      <c r="T104" s="20"/>
      <c r="U104" s="18"/>
      <c r="V104" s="25" t="str">
        <f>IF(OR(ISBLANK(V101),NOT(ISNUMBER(V101))),"WERT?",IF(U101="FEHLER","FEHLER",IF(V101&gt;=ROUND(3*$E$95/V$106/V$107,1),"gut",IF(AND(V101&gt;=ROUND(3*$E$95,1),V101&lt;ROUND(3*$E$95/V$106/V$107,1)),"mässig","schlecht"))))</f>
        <v>WERT?</v>
      </c>
      <c r="W104" s="99" t="s">
        <v>45</v>
      </c>
      <c r="X104" s="20"/>
      <c r="Y104" s="18"/>
      <c r="Z104" s="25" t="str">
        <f>IF(OR(ISBLANK(Z101),NOT(ISNUMBER(Z101))),"WERT?",IF(Y101="FEHLER","FEHLER",IF(Z101&gt;=ROUND(3*$E$95/Z$106/Z$107,1),"gut",IF(AND(Z101&gt;=ROUND(3*$E$95,1),Z101&lt;ROUND(3*$E$95/Z$106/Z$107,1)),"mässig","schlecht"))))</f>
        <v>WERT?</v>
      </c>
      <c r="AA104" s="99" t="s">
        <v>45</v>
      </c>
      <c r="AB104" s="18"/>
      <c r="AD104" s="51"/>
      <c r="AF104" s="28"/>
      <c r="AG104" s="28"/>
      <c r="AH104" s="45"/>
      <c r="AI104" s="45"/>
      <c r="AJ104" s="45"/>
      <c r="AK104" s="45"/>
      <c r="AL104" s="45"/>
    </row>
    <row r="105" spans="3:41" s="5" customFormat="1" ht="15" customHeight="1" x14ac:dyDescent="0.25">
      <c r="C105" s="28"/>
      <c r="D105" s="28"/>
      <c r="E105" s="28"/>
      <c r="F105" s="28"/>
      <c r="G105" s="28"/>
      <c r="H105" s="28"/>
      <c r="I105" s="28"/>
      <c r="J105" s="18"/>
      <c r="K105" s="18"/>
      <c r="L105" s="18"/>
      <c r="M105" s="18"/>
      <c r="N105" s="18"/>
      <c r="O105" s="18"/>
      <c r="P105" s="18"/>
      <c r="Q105" s="18"/>
      <c r="R105" s="18"/>
      <c r="S105" s="18"/>
      <c r="T105" s="18"/>
      <c r="U105" s="18"/>
      <c r="V105" s="18"/>
      <c r="W105" s="18"/>
      <c r="X105" s="18"/>
      <c r="Y105" s="18"/>
      <c r="Z105" s="18"/>
      <c r="AA105" s="18"/>
      <c r="AB105" s="18"/>
      <c r="AD105" s="51"/>
      <c r="AF105" s="28"/>
      <c r="AG105" s="28"/>
      <c r="AH105" s="45"/>
      <c r="AI105" s="45"/>
      <c r="AJ105" s="45"/>
      <c r="AK105" s="45"/>
      <c r="AL105" s="45"/>
    </row>
    <row r="106" spans="3:41" s="5" customFormat="1" ht="15" customHeight="1" x14ac:dyDescent="0.25">
      <c r="J106" s="139">
        <f>'(3) Variantenbewertung'!I$27</f>
        <v>0.8</v>
      </c>
      <c r="K106" s="1"/>
      <c r="L106" s="16"/>
      <c r="M106" s="16"/>
      <c r="N106" s="139">
        <f>'(3) Variantenbewertung'!L$27</f>
        <v>1</v>
      </c>
      <c r="O106" s="1"/>
      <c r="P106" s="16"/>
      <c r="Q106" s="16"/>
      <c r="R106" s="139">
        <f>'(3) Variantenbewertung'!O$27</f>
        <v>0.8</v>
      </c>
      <c r="S106" s="1"/>
      <c r="T106" s="16"/>
      <c r="U106" s="16"/>
      <c r="V106" s="139" t="str">
        <f>'(3) Variantenbewertung'!R$27</f>
        <v>Bauweise wählen</v>
      </c>
      <c r="W106" s="1"/>
      <c r="X106" s="16"/>
      <c r="Y106" s="16"/>
      <c r="Z106" s="139" t="str">
        <f>'(3) Variantenbewertung'!U$27</f>
        <v>Bauweise wählen</v>
      </c>
      <c r="AA106" s="1"/>
      <c r="AB106" s="1"/>
      <c r="AD106" s="51"/>
      <c r="AO106" s="7"/>
    </row>
    <row r="107" spans="3:41" s="5" customFormat="1" ht="15" customHeight="1" x14ac:dyDescent="0.25">
      <c r="J107" s="139">
        <f>'(3) Variantenbewertung'!I$35</f>
        <v>1</v>
      </c>
      <c r="K107" s="1"/>
      <c r="L107" s="1"/>
      <c r="M107" s="1"/>
      <c r="N107" s="139">
        <f>'(3) Variantenbewertung'!L$35</f>
        <v>0.95</v>
      </c>
      <c r="O107" s="1"/>
      <c r="P107" s="1"/>
      <c r="Q107" s="1"/>
      <c r="R107" s="139">
        <f>'(3) Variantenbewertung'!O$35</f>
        <v>1</v>
      </c>
      <c r="S107" s="1"/>
      <c r="T107" s="1"/>
      <c r="U107" s="1"/>
      <c r="V107" s="139" t="str">
        <f>'(3) Variantenbewertung'!R$35</f>
        <v/>
      </c>
      <c r="W107" s="1"/>
      <c r="X107" s="1"/>
      <c r="Y107" s="1"/>
      <c r="Z107" s="139" t="str">
        <f>'(3) Variantenbewertung'!U$35</f>
        <v/>
      </c>
      <c r="AA107" s="1"/>
      <c r="AB107" s="1"/>
      <c r="AD107" s="51"/>
      <c r="AO107" s="7"/>
    </row>
    <row r="108" spans="3:41" s="5" customFormat="1" ht="15" customHeight="1" x14ac:dyDescent="0.25">
      <c r="C108" s="266" t="s">
        <v>354</v>
      </c>
      <c r="D108" s="266"/>
      <c r="E108" s="266"/>
      <c r="F108" s="266"/>
      <c r="G108" s="28"/>
      <c r="H108" s="28"/>
      <c r="I108" s="28"/>
      <c r="J108" s="18"/>
      <c r="K108" s="18"/>
      <c r="L108" s="18"/>
      <c r="M108" s="18"/>
      <c r="N108" s="18"/>
      <c r="O108" s="18"/>
      <c r="P108" s="18"/>
      <c r="Q108" s="18"/>
      <c r="R108" s="18"/>
      <c r="S108" s="18"/>
      <c r="T108" s="18"/>
      <c r="U108" s="18"/>
      <c r="V108" s="18"/>
      <c r="W108" s="18"/>
      <c r="X108" s="18"/>
      <c r="Y108" s="18"/>
      <c r="Z108" s="18"/>
      <c r="AA108" s="18"/>
      <c r="AB108" s="18"/>
      <c r="AD108" s="51"/>
      <c r="AF108" s="28"/>
      <c r="AG108" s="28"/>
      <c r="AH108" s="266"/>
      <c r="AI108" s="266"/>
      <c r="AJ108" s="266"/>
      <c r="AK108" s="266"/>
      <c r="AL108" s="266"/>
      <c r="AO108" s="7"/>
    </row>
    <row r="109" spans="3:41" s="5" customFormat="1" ht="15" customHeight="1" x14ac:dyDescent="0.25">
      <c r="C109" s="28"/>
      <c r="D109" s="263" t="s">
        <v>304</v>
      </c>
      <c r="E109" s="263"/>
      <c r="F109" s="263"/>
      <c r="G109" s="263"/>
      <c r="H109" s="180"/>
      <c r="I109" s="70"/>
      <c r="J109" s="316" t="str">
        <f>IF(ISBLANK('(3) Variantenbewertung'!$I$11),"",'(3) Variantenbewertung'!$I$11)</f>
        <v>V1</v>
      </c>
      <c r="K109" s="316"/>
      <c r="L109" s="18"/>
      <c r="M109" s="18"/>
      <c r="N109" s="316" t="str">
        <f>IF(ISBLANK('(3) Variantenbewertung'!$L$11),"",'(3) Variantenbewertung'!$L$11)</f>
        <v>V2</v>
      </c>
      <c r="O109" s="316"/>
      <c r="P109" s="18"/>
      <c r="Q109" s="18"/>
      <c r="R109" s="316" t="str">
        <f>IF(ISBLANK('(3) Variantenbewertung'!$O$11),"",'(3) Variantenbewertung'!$O$11)</f>
        <v>V3</v>
      </c>
      <c r="S109" s="316"/>
      <c r="T109" s="55"/>
      <c r="U109" s="18"/>
      <c r="V109" s="316" t="str">
        <f>IF(ISBLANK('(3) Variantenbewertung'!$R$11),"",'(3) Variantenbewertung'!$R$11)</f>
        <v/>
      </c>
      <c r="W109" s="316"/>
      <c r="X109" s="18"/>
      <c r="Y109" s="18"/>
      <c r="Z109" s="316" t="str">
        <f>IF(ISBLANK('(3) Variantenbewertung'!$U$11),"",'(3) Variantenbewertung'!$U$11)</f>
        <v/>
      </c>
      <c r="AA109" s="316"/>
      <c r="AB109" s="18"/>
      <c r="AD109" s="51"/>
      <c r="AF109" s="18"/>
      <c r="AG109" s="28"/>
      <c r="AH109" s="18"/>
      <c r="AI109" s="302" t="s">
        <v>11</v>
      </c>
      <c r="AJ109" s="292" t="s">
        <v>12</v>
      </c>
      <c r="AK109" s="301"/>
      <c r="AL109" s="293"/>
      <c r="AM109" s="6"/>
      <c r="AN109" s="6"/>
      <c r="AO109" s="9"/>
    </row>
    <row r="110" spans="3:41" s="5" customFormat="1" ht="15" customHeight="1" x14ac:dyDescent="0.25">
      <c r="C110" s="28"/>
      <c r="D110" s="263"/>
      <c r="E110" s="263"/>
      <c r="F110" s="263"/>
      <c r="G110" s="263"/>
      <c r="H110" s="180"/>
      <c r="I110" s="28"/>
      <c r="J110" s="132" t="s">
        <v>221</v>
      </c>
      <c r="K110" s="133" t="s">
        <v>222</v>
      </c>
      <c r="L110" s="126"/>
      <c r="M110" s="17"/>
      <c r="N110" s="132" t="s">
        <v>221</v>
      </c>
      <c r="O110" s="133" t="s">
        <v>222</v>
      </c>
      <c r="P110" s="126"/>
      <c r="Q110" s="17"/>
      <c r="R110" s="132" t="s">
        <v>221</v>
      </c>
      <c r="S110" s="133" t="s">
        <v>222</v>
      </c>
      <c r="T110" s="126"/>
      <c r="U110" s="17"/>
      <c r="V110" s="132" t="s">
        <v>221</v>
      </c>
      <c r="W110" s="133" t="s">
        <v>222</v>
      </c>
      <c r="X110" s="126"/>
      <c r="Y110" s="17"/>
      <c r="Z110" s="132" t="s">
        <v>221</v>
      </c>
      <c r="AA110" s="133" t="s">
        <v>222</v>
      </c>
      <c r="AB110" s="17"/>
      <c r="AD110" s="51"/>
      <c r="AF110" s="18"/>
      <c r="AG110" s="28"/>
      <c r="AH110" s="18"/>
      <c r="AI110" s="303"/>
      <c r="AJ110" s="37" t="s">
        <v>0</v>
      </c>
      <c r="AK110" s="37" t="s">
        <v>1</v>
      </c>
      <c r="AL110" s="37" t="s">
        <v>2</v>
      </c>
      <c r="AO110" s="12"/>
    </row>
    <row r="111" spans="3:41" s="5" customFormat="1" ht="15" customHeight="1" x14ac:dyDescent="0.25">
      <c r="C111" s="28"/>
      <c r="D111" s="28"/>
      <c r="E111" s="28"/>
      <c r="F111" s="28"/>
      <c r="G111" s="28"/>
      <c r="H111" s="28"/>
      <c r="I111" s="28"/>
      <c r="J111" s="25" t="s">
        <v>68</v>
      </c>
      <c r="K111" s="53" t="str">
        <f>IF(NOT(K115="keine Korrektur"),"Bitte begründen:","")</f>
        <v/>
      </c>
      <c r="L111" s="20"/>
      <c r="M111" s="20"/>
      <c r="N111" s="25" t="s">
        <v>68</v>
      </c>
      <c r="O111" s="53" t="str">
        <f>IF(NOT(O115="keine Korrektur"),"Bitte begründen:","")</f>
        <v/>
      </c>
      <c r="P111" s="20"/>
      <c r="Q111" s="20"/>
      <c r="R111" s="25" t="s">
        <v>68</v>
      </c>
      <c r="S111" s="53" t="str">
        <f>IF(NOT(S115="keine Korrektur"),"Bitte begründen:","")</f>
        <v/>
      </c>
      <c r="T111" s="20"/>
      <c r="U111" s="20"/>
      <c r="V111" s="25" t="s">
        <v>68</v>
      </c>
      <c r="W111" s="53" t="str">
        <f>IF(NOT(W115="keine Korrektur"),"Bitte begründen:","")</f>
        <v/>
      </c>
      <c r="X111" s="20"/>
      <c r="Y111" s="20"/>
      <c r="Z111" s="25" t="s">
        <v>68</v>
      </c>
      <c r="AA111" s="53" t="str">
        <f>IF(NOT(AA115="keine Korrektur"),"Bitte begründen:","")</f>
        <v/>
      </c>
      <c r="AB111" s="17"/>
      <c r="AD111" s="51"/>
      <c r="AF111" s="20"/>
      <c r="AG111" s="299" t="s">
        <v>249</v>
      </c>
      <c r="AH111" s="300"/>
      <c r="AI111" s="37" t="s">
        <v>269</v>
      </c>
      <c r="AJ111" s="37" t="s">
        <v>270</v>
      </c>
      <c r="AK111" s="37" t="s">
        <v>270</v>
      </c>
      <c r="AL111" s="37" t="s">
        <v>271</v>
      </c>
    </row>
    <row r="112" spans="3:41" s="5" customFormat="1" ht="15" customHeight="1" x14ac:dyDescent="0.25">
      <c r="C112" s="28"/>
      <c r="D112" s="30"/>
      <c r="E112" s="265" t="str">
        <f>IF($E$95=0,"Bitte auf Blatt (1) Referenzlänge eintragen","&gt; Bemessungswert")</f>
        <v>&gt; Bemessungswert</v>
      </c>
      <c r="F112" s="265"/>
      <c r="G112" s="28"/>
      <c r="H112" s="28"/>
      <c r="I112" s="128" t="str">
        <f>IF(OR(J$117="Bauweise wählen",J$118="Bauweise / Betriebsbedingungen wählen"),"FEHLER",IF($E$95=0,"","&gt; "&amp;ROUND(0.75*3*$E$95/J$117/J$118,2)&amp;" m"))</f>
        <v>&gt; 2.25 m</v>
      </c>
      <c r="J112" s="223">
        <v>2</v>
      </c>
      <c r="K112" s="315"/>
      <c r="L112" s="20"/>
      <c r="M112" s="128" t="str">
        <f>IF(OR(N$117="Bauweise wählen",N$118="Bauweise / Betriebsbedingungen wählen"),"FEHLER",IF($E$95=0,"","&gt; "&amp;ROUND(0.75*3*$E$95/N$117/N$118,2)&amp;" m"))</f>
        <v>&gt; 1.89 m</v>
      </c>
      <c r="N112" s="223">
        <v>2.5</v>
      </c>
      <c r="O112" s="315"/>
      <c r="P112" s="20"/>
      <c r="Q112" s="128" t="str">
        <f>IF(OR(R$117="Bauweise wählen",R$118="Bauweise / Betriebsbedingungen wählen"),"FEHLER",IF($E$95=0,"","&gt; "&amp;ROUND(0.75*3*$E$95/R$117/R$118,2)&amp;" m"))</f>
        <v>&gt; 2.25 m</v>
      </c>
      <c r="R112" s="223">
        <v>1.5</v>
      </c>
      <c r="S112" s="315"/>
      <c r="T112" s="20"/>
      <c r="U112" s="128" t="str">
        <f>IF(OR(V$117="Bauweise wählen",V$118="Bauweise / Betriebsbedingungen wählen"),"FEHLER",IF($E$95=0,"","&gt; "&amp;ROUND(0.75*3*$E$95/V$117/V$118,2)&amp;" m"))</f>
        <v>FEHLER</v>
      </c>
      <c r="V112" s="223"/>
      <c r="W112" s="315"/>
      <c r="X112" s="20"/>
      <c r="Y112" s="128" t="str">
        <f>IF(OR(Z$117="Bauweise wählen",Z$118="Bauweise / Betriebsbedingungen wählen"),"FEHLER",IF($E$95=0,"","&gt; "&amp;ROUND(0.75*3*$E$95/Z$117/Z$118,2)&amp;" m"))</f>
        <v>FEHLER</v>
      </c>
      <c r="Z112" s="223"/>
      <c r="AA112" s="315"/>
      <c r="AB112" s="18"/>
      <c r="AD112" s="51"/>
      <c r="AF112" s="48"/>
      <c r="AG112" s="305" t="s">
        <v>10</v>
      </c>
      <c r="AH112" s="306"/>
      <c r="AI112" s="25" t="s">
        <v>310</v>
      </c>
      <c r="AJ112" s="25" t="s">
        <v>314</v>
      </c>
      <c r="AK112" s="25" t="s">
        <v>314</v>
      </c>
      <c r="AL112" s="25" t="s">
        <v>317</v>
      </c>
    </row>
    <row r="113" spans="3:41" s="5" customFormat="1" ht="15" customHeight="1" x14ac:dyDescent="0.25">
      <c r="C113" s="71">
        <v>0.8</v>
      </c>
      <c r="D113" s="35"/>
      <c r="E113" s="265" t="str">
        <f>IF($E$95=0,"","Grenzwert bis Bemessungswert")</f>
        <v>Grenzwert bis Bemessungswert</v>
      </c>
      <c r="F113" s="265"/>
      <c r="G113" s="28"/>
      <c r="H113" s="28"/>
      <c r="I113" s="128" t="str">
        <f>IF(OR(J$117="Bauweise wählen",J$118="Bauweise / Betriebsbedingungen wählen"),"",IF($E$95=0,"",ROUND(0.75*3*$E$95,2)&amp;" bis "&amp;ROUND(0.75*3*$E$95/J$117/J$118,2)&amp;" m"))</f>
        <v>1.8 bis 2.25 m</v>
      </c>
      <c r="J113" s="223"/>
      <c r="K113" s="315"/>
      <c r="L113" s="20"/>
      <c r="M113" s="128" t="str">
        <f>IF(OR(N$117="Bauweise wählen",N$118="Bauweise / Betriebsbedingungen wählen"),"",IF($E$95=0,"",ROUND(0.75*3*$E$95,2)&amp;" bis "&amp;ROUND(0.75*3*$E$95/N$117/N$118,2)&amp;" m"))</f>
        <v>1.8 bis 1.89 m</v>
      </c>
      <c r="N113" s="223"/>
      <c r="O113" s="315"/>
      <c r="P113" s="20"/>
      <c r="Q113" s="128" t="str">
        <f>IF(OR(R$117="Bauweise wählen",R$118="Bauweise / Betriebsbedingungen wählen"),"",IF($E$95=0,"",ROUND(0.75*3*$E$95,2)&amp;" bis "&amp;ROUND(0.75*3*$E$95/R$117/R$118,2)&amp;" m"))</f>
        <v>1.8 bis 2.25 m</v>
      </c>
      <c r="R113" s="223"/>
      <c r="S113" s="315"/>
      <c r="T113" s="20"/>
      <c r="U113" s="128" t="str">
        <f>IF(OR(V$117="Bauweise wählen",V$118="Bauweise / Betriebsbedingungen wählen"),"",IF($E$95=0,"",ROUND(0.75*3*$E$95,2)&amp;" bis "&amp;ROUND(0.75*3*$E$95/V$117/V$118,2)&amp;" m"))</f>
        <v/>
      </c>
      <c r="V113" s="223"/>
      <c r="W113" s="315"/>
      <c r="X113" s="20"/>
      <c r="Y113" s="128" t="str">
        <f>IF(OR(Z$117="Bauweise wählen",Z$118="Bauweise / Betriebsbedingungen wählen"),"",IF($E$95=0,"",ROUND(0.75*3*$E$95,2)&amp;" bis "&amp;ROUND(0.75*3*$E$95/Z$117/Z$118,2)&amp;" m"))</f>
        <v/>
      </c>
      <c r="Z113" s="223"/>
      <c r="AA113" s="315"/>
      <c r="AB113" s="18"/>
      <c r="AD113" s="284" t="s">
        <v>44</v>
      </c>
      <c r="AF113" s="49"/>
      <c r="AG113" s="305" t="s">
        <v>42</v>
      </c>
      <c r="AH113" s="306"/>
      <c r="AI113" s="25" t="s">
        <v>311</v>
      </c>
      <c r="AJ113" s="25" t="s">
        <v>315</v>
      </c>
      <c r="AK113" s="25" t="s">
        <v>315</v>
      </c>
      <c r="AL113" s="25" t="s">
        <v>318</v>
      </c>
    </row>
    <row r="114" spans="3:41" s="5" customFormat="1" ht="15" customHeight="1" x14ac:dyDescent="0.25">
      <c r="C114" s="28"/>
      <c r="D114" s="32"/>
      <c r="E114" s="265" t="str">
        <f>IF($E$95=0,"","&lt; Grenzwert")</f>
        <v>&lt; Grenzwert</v>
      </c>
      <c r="F114" s="265"/>
      <c r="G114" s="28"/>
      <c r="H114" s="28"/>
      <c r="I114" s="128" t="str">
        <f>IF(OR(J$117="Bauweise wählen",J$118="Bauweise / Betriebsbedingungen wählen"),"",IF($E$95=0,"","&lt; "&amp;ROUND(0.75*3*$E$95,2)&amp;" m"))</f>
        <v>&lt; 1.8 m</v>
      </c>
      <c r="J114" s="223"/>
      <c r="K114" s="315"/>
      <c r="L114" s="20"/>
      <c r="M114" s="128" t="str">
        <f>IF(OR(N$117="Bauweise wählen",N$118="Bauweise / Betriebsbedingungen wählen"),"",IF($E$95=0,"","&lt; "&amp;ROUND(0.75*3*$E$95,2)&amp;" m"))</f>
        <v>&lt; 1.8 m</v>
      </c>
      <c r="N114" s="223"/>
      <c r="O114" s="315"/>
      <c r="P114" s="20"/>
      <c r="Q114" s="128" t="str">
        <f>IF(OR(R$117="Bauweise wählen",R$118="Bauweise / Betriebsbedingungen wählen"),"",IF($E$95=0,"","&lt; "&amp;ROUND(0.75*3*$E$95,2)&amp;" m"))</f>
        <v>&lt; 1.8 m</v>
      </c>
      <c r="R114" s="223"/>
      <c r="S114" s="315"/>
      <c r="T114" s="20"/>
      <c r="U114" s="128" t="str">
        <f>IF(OR(V$117="Bauweise wählen",V$118="Bauweise / Betriebsbedingungen wählen"),"",IF($E$95=0,"","&lt; "&amp;ROUND(0.75*3*$E$95,2)&amp;" m"))</f>
        <v/>
      </c>
      <c r="V114" s="223"/>
      <c r="W114" s="315"/>
      <c r="X114" s="20"/>
      <c r="Y114" s="128" t="str">
        <f>IF(OR(Z$117="Bauweise wählen",Z$118="Bauweise / Betriebsbedingungen wählen"),"",IF($E$95=0,"","&lt; "&amp;ROUND(0.75*3*$E$95,2)&amp;" m"))</f>
        <v/>
      </c>
      <c r="Z114" s="223"/>
      <c r="AA114" s="315"/>
      <c r="AB114" s="18"/>
      <c r="AD114" s="284"/>
      <c r="AF114" s="50"/>
      <c r="AG114" s="305" t="s">
        <v>43</v>
      </c>
      <c r="AH114" s="306"/>
      <c r="AI114" s="25" t="s">
        <v>312</v>
      </c>
      <c r="AJ114" s="25" t="s">
        <v>313</v>
      </c>
      <c r="AK114" s="25" t="s">
        <v>313</v>
      </c>
      <c r="AL114" s="25" t="s">
        <v>316</v>
      </c>
    </row>
    <row r="115" spans="3:41" s="5" customFormat="1" ht="15" customHeight="1" x14ac:dyDescent="0.25">
      <c r="C115" s="28"/>
      <c r="D115" s="28"/>
      <c r="E115" s="28"/>
      <c r="F115" s="28"/>
      <c r="G115" s="28"/>
      <c r="H115" s="28"/>
      <c r="I115" s="28"/>
      <c r="J115" s="25" t="str">
        <f>IF($E$95=0,"FEHLER",IF(OR(ISBLANK(J112),NOT(ISNUMBER(J112))),"WERT?",IF(I101="FEHLER","FEHLER",IF(J112&gt;=ROUND(0.75*3*$E$95/J$117/J$118,1),"gut",IF(AND(J112&gt;=ROUND(0.75*3*$E$95,1),J112&lt;ROUND(0.75*3*$E$95/J$117/J$118,1)),"mässig","schlecht")))))</f>
        <v>mässig</v>
      </c>
      <c r="K115" s="99" t="s">
        <v>45</v>
      </c>
      <c r="L115" s="20"/>
      <c r="M115" s="18"/>
      <c r="N115" s="25" t="str">
        <f>IF($E$95=0,"FEHLER",IF(OR(ISBLANK(N112),NOT(ISNUMBER(N112))),"WERT?",IF(M101="FEHLER","FEHLER",IF(N112&gt;=ROUND(0.75*3*$E$95/N$117/N$118,1),"gut",IF(AND(N112&gt;=ROUND(0.75*3*$E$95,1),N112&lt;ROUND(0.75*3*$E$95/N$117/N$118,1)),"mässig","schlecht")))))</f>
        <v>gut</v>
      </c>
      <c r="O115" s="99" t="s">
        <v>45</v>
      </c>
      <c r="P115" s="20"/>
      <c r="Q115" s="18"/>
      <c r="R115" s="25" t="str">
        <f>IF($E$95=0,"FEHLER",IF(OR(ISBLANK(R112),NOT(ISNUMBER(R112))),"WERT?",IF(Q101="FEHLER","FEHLER",IF(R112&gt;=ROUND(0.75*3*$E$95/R$117/R$118,1),"gut",IF(AND(R112&gt;=ROUND(0.75*3*$E$95,1),R112&lt;ROUND(0.75*3*$E$95/R$117/R$118,1)),"mässig","schlecht")))))</f>
        <v>schlecht</v>
      </c>
      <c r="S115" s="99" t="s">
        <v>45</v>
      </c>
      <c r="T115" s="20"/>
      <c r="U115" s="18"/>
      <c r="V115" s="25" t="str">
        <f>IF($E$95=0,"FEHLER",IF(OR(ISBLANK(V112),NOT(ISNUMBER(V112))),"WERT?",IF(U101="FEHLER","FEHLER",IF(V112&gt;=ROUND(0.75*3*$E$95/V$117/V$118,1),"gut",IF(AND(V112&gt;=ROUND(0.75*3*$E$95,1),V112&lt;ROUND(0.75*3*$E$95/V$117/V$118,1)),"mässig","schlecht")))))</f>
        <v>WERT?</v>
      </c>
      <c r="W115" s="99" t="s">
        <v>45</v>
      </c>
      <c r="X115" s="20"/>
      <c r="Y115" s="18"/>
      <c r="Z115" s="25" t="str">
        <f>IF($E$95=0,"FEHLER",IF(OR(ISBLANK(Z112),NOT(ISNUMBER(Z112))),"WERT?",IF(Y101="FEHLER","FEHLER",IF(Z112&gt;=ROUND(0.75*3*$E$95/Z$117/Z$118,1),"gut",IF(AND(Z112&gt;=ROUND(0.75*3*$E$95,1),Z112&lt;ROUND(0.75*3*$E$95/Z$117/Z$118,1)),"mässig","schlecht")))))</f>
        <v>WERT?</v>
      </c>
      <c r="AA115" s="99" t="s">
        <v>45</v>
      </c>
      <c r="AB115" s="18"/>
      <c r="AD115" s="283" t="s">
        <v>224</v>
      </c>
      <c r="AF115" s="28"/>
      <c r="AG115" s="28"/>
      <c r="AH115" s="28"/>
      <c r="AI115" s="28"/>
      <c r="AJ115" s="28"/>
      <c r="AK115" s="28"/>
      <c r="AL115" s="28"/>
      <c r="AO115" s="7"/>
    </row>
    <row r="116" spans="3:41" s="5" customFormat="1" ht="15" customHeight="1" x14ac:dyDescent="0.25">
      <c r="C116" s="28"/>
      <c r="D116" s="28"/>
      <c r="E116" s="28"/>
      <c r="F116" s="28"/>
      <c r="G116" s="28"/>
      <c r="H116" s="28"/>
      <c r="I116" s="28"/>
      <c r="J116" s="18"/>
      <c r="K116" s="18"/>
      <c r="L116" s="18"/>
      <c r="M116" s="18"/>
      <c r="N116" s="18"/>
      <c r="O116" s="18"/>
      <c r="P116" s="18"/>
      <c r="Q116" s="18"/>
      <c r="R116" s="18"/>
      <c r="S116" s="18"/>
      <c r="T116" s="18"/>
      <c r="U116" s="18"/>
      <c r="V116" s="18"/>
      <c r="W116" s="18"/>
      <c r="X116" s="18"/>
      <c r="Y116" s="18"/>
      <c r="Z116" s="18"/>
      <c r="AA116" s="18"/>
      <c r="AB116" s="18"/>
      <c r="AD116" s="283"/>
      <c r="AF116" s="28"/>
      <c r="AG116" s="28"/>
      <c r="AH116" s="28"/>
      <c r="AI116" s="28"/>
      <c r="AJ116" s="28"/>
      <c r="AK116" s="28"/>
      <c r="AL116" s="28"/>
      <c r="AO116" s="7"/>
    </row>
    <row r="117" spans="3:41" s="5" customFormat="1" ht="15" customHeight="1" x14ac:dyDescent="0.25">
      <c r="J117" s="139">
        <f>'(3) Variantenbewertung'!I$27</f>
        <v>0.8</v>
      </c>
      <c r="K117" s="1"/>
      <c r="L117" s="16"/>
      <c r="M117" s="16"/>
      <c r="N117" s="139">
        <f>'(3) Variantenbewertung'!L$27</f>
        <v>1</v>
      </c>
      <c r="O117" s="1"/>
      <c r="P117" s="16"/>
      <c r="Q117" s="16"/>
      <c r="R117" s="139">
        <f>'(3) Variantenbewertung'!O$27</f>
        <v>0.8</v>
      </c>
      <c r="S117" s="1"/>
      <c r="T117" s="16"/>
      <c r="U117" s="16"/>
      <c r="V117" s="139" t="str">
        <f>'(3) Variantenbewertung'!R$27</f>
        <v>Bauweise wählen</v>
      </c>
      <c r="W117" s="1"/>
      <c r="X117" s="16"/>
      <c r="Y117" s="16"/>
      <c r="Z117" s="139" t="str">
        <f>'(3) Variantenbewertung'!U$27</f>
        <v>Bauweise wählen</v>
      </c>
      <c r="AA117" s="1"/>
      <c r="AB117" s="1"/>
      <c r="AD117" s="283"/>
      <c r="AI117" s="6"/>
      <c r="AJ117" s="6"/>
      <c r="AK117" s="6"/>
      <c r="AL117" s="6"/>
      <c r="AO117" s="7"/>
    </row>
    <row r="118" spans="3:41" s="5" customFormat="1" ht="15" customHeight="1" x14ac:dyDescent="0.25">
      <c r="J118" s="139">
        <f>'(3) Variantenbewertung'!I$35</f>
        <v>1</v>
      </c>
      <c r="K118" s="1"/>
      <c r="L118" s="1"/>
      <c r="M118" s="1"/>
      <c r="N118" s="139">
        <f>'(3) Variantenbewertung'!L$35</f>
        <v>0.95</v>
      </c>
      <c r="O118" s="1"/>
      <c r="P118" s="1"/>
      <c r="Q118" s="1"/>
      <c r="R118" s="139">
        <f>'(3) Variantenbewertung'!O$35</f>
        <v>1</v>
      </c>
      <c r="S118" s="1"/>
      <c r="T118" s="1"/>
      <c r="U118" s="1"/>
      <c r="V118" s="139" t="str">
        <f>'(3) Variantenbewertung'!R$35</f>
        <v/>
      </c>
      <c r="W118" s="1"/>
      <c r="X118" s="1"/>
      <c r="Y118" s="1"/>
      <c r="Z118" s="139" t="str">
        <f>'(3) Variantenbewertung'!U$35</f>
        <v/>
      </c>
      <c r="AA118" s="1"/>
      <c r="AB118" s="1"/>
      <c r="AD118" s="283"/>
      <c r="AI118" s="6"/>
      <c r="AJ118" s="6"/>
      <c r="AK118" s="6"/>
      <c r="AL118" s="6"/>
      <c r="AO118" s="7"/>
    </row>
    <row r="119" spans="3:41" s="5" customFormat="1" ht="15" customHeight="1" x14ac:dyDescent="0.25">
      <c r="C119" s="266" t="s">
        <v>355</v>
      </c>
      <c r="D119" s="266"/>
      <c r="E119" s="266"/>
      <c r="F119" s="266"/>
      <c r="G119" s="28"/>
      <c r="H119" s="28"/>
      <c r="I119" s="28"/>
      <c r="J119" s="18"/>
      <c r="K119" s="18"/>
      <c r="L119" s="18"/>
      <c r="M119" s="18"/>
      <c r="N119" s="18"/>
      <c r="O119" s="18"/>
      <c r="P119" s="18"/>
      <c r="Q119" s="18"/>
      <c r="R119" s="18"/>
      <c r="S119" s="18"/>
      <c r="T119" s="18"/>
      <c r="U119" s="18"/>
      <c r="V119" s="18"/>
      <c r="W119" s="18"/>
      <c r="X119" s="18"/>
      <c r="Y119" s="18"/>
      <c r="Z119" s="18"/>
      <c r="AA119" s="18"/>
      <c r="AB119" s="18"/>
      <c r="AD119" s="283"/>
      <c r="AF119" s="28"/>
      <c r="AG119" s="28"/>
      <c r="AH119" s="266"/>
      <c r="AI119" s="266"/>
      <c r="AJ119" s="266"/>
      <c r="AK119" s="266"/>
      <c r="AL119" s="266"/>
      <c r="AM119" s="6"/>
      <c r="AN119" s="6"/>
      <c r="AO119" s="6"/>
    </row>
    <row r="120" spans="3:41" s="5" customFormat="1" ht="15" customHeight="1" x14ac:dyDescent="0.25">
      <c r="C120" s="28"/>
      <c r="D120" s="263" t="s">
        <v>305</v>
      </c>
      <c r="E120" s="263"/>
      <c r="F120" s="263"/>
      <c r="G120" s="263"/>
      <c r="H120" s="180"/>
      <c r="I120" s="70"/>
      <c r="J120" s="316" t="str">
        <f>IF(ISBLANK('(3) Variantenbewertung'!$I$11),"",'(3) Variantenbewertung'!$I$11)</f>
        <v>V1</v>
      </c>
      <c r="K120" s="316"/>
      <c r="L120" s="18"/>
      <c r="M120" s="18"/>
      <c r="N120" s="316" t="str">
        <f>IF(ISBLANK('(3) Variantenbewertung'!$L$11),"",'(3) Variantenbewertung'!$L$11)</f>
        <v>V2</v>
      </c>
      <c r="O120" s="316"/>
      <c r="P120" s="18"/>
      <c r="Q120" s="18"/>
      <c r="R120" s="316" t="str">
        <f>IF(ISBLANK('(3) Variantenbewertung'!$O$11),"",'(3) Variantenbewertung'!$O$11)</f>
        <v>V3</v>
      </c>
      <c r="S120" s="316"/>
      <c r="T120" s="55"/>
      <c r="U120" s="18"/>
      <c r="V120" s="316" t="str">
        <f>IF(ISBLANK('(3) Variantenbewertung'!$R$11),"",'(3) Variantenbewertung'!$R$11)</f>
        <v/>
      </c>
      <c r="W120" s="316"/>
      <c r="X120" s="18"/>
      <c r="Y120" s="18"/>
      <c r="Z120" s="316" t="str">
        <f>IF(ISBLANK('(3) Variantenbewertung'!$U$11),"",'(3) Variantenbewertung'!$U$11)</f>
        <v/>
      </c>
      <c r="AA120" s="316"/>
      <c r="AB120" s="18"/>
      <c r="AD120" s="283"/>
      <c r="AF120" s="18"/>
      <c r="AG120" s="28"/>
      <c r="AH120" s="18"/>
      <c r="AI120" s="302" t="s">
        <v>11</v>
      </c>
      <c r="AJ120" s="292" t="s">
        <v>12</v>
      </c>
      <c r="AK120" s="301"/>
      <c r="AL120" s="293"/>
      <c r="AO120" s="7"/>
    </row>
    <row r="121" spans="3:41" s="5" customFormat="1" ht="15" customHeight="1" x14ac:dyDescent="0.25">
      <c r="C121" s="28"/>
      <c r="D121" s="263"/>
      <c r="E121" s="263"/>
      <c r="F121" s="263"/>
      <c r="G121" s="263"/>
      <c r="H121" s="180"/>
      <c r="I121" s="28"/>
      <c r="J121" s="132" t="s">
        <v>221</v>
      </c>
      <c r="K121" s="133" t="s">
        <v>222</v>
      </c>
      <c r="L121" s="126"/>
      <c r="M121" s="17"/>
      <c r="N121" s="132" t="s">
        <v>221</v>
      </c>
      <c r="O121" s="133" t="s">
        <v>222</v>
      </c>
      <c r="P121" s="126"/>
      <c r="Q121" s="17"/>
      <c r="R121" s="132" t="s">
        <v>221</v>
      </c>
      <c r="S121" s="133" t="s">
        <v>222</v>
      </c>
      <c r="T121" s="126"/>
      <c r="U121" s="17"/>
      <c r="V121" s="132" t="s">
        <v>221</v>
      </c>
      <c r="W121" s="133" t="s">
        <v>222</v>
      </c>
      <c r="X121" s="126"/>
      <c r="Y121" s="17"/>
      <c r="Z121" s="132" t="s">
        <v>221</v>
      </c>
      <c r="AA121" s="133" t="s">
        <v>222</v>
      </c>
      <c r="AB121" s="17"/>
      <c r="AD121" s="283"/>
      <c r="AF121" s="18"/>
      <c r="AG121" s="28"/>
      <c r="AH121" s="18"/>
      <c r="AI121" s="303"/>
      <c r="AJ121" s="37" t="s">
        <v>0</v>
      </c>
      <c r="AK121" s="37" t="s">
        <v>1</v>
      </c>
      <c r="AL121" s="37" t="s">
        <v>2</v>
      </c>
      <c r="AO121" s="7"/>
    </row>
    <row r="122" spans="3:41" s="5" customFormat="1" ht="15" customHeight="1" x14ac:dyDescent="0.25">
      <c r="C122" s="28"/>
      <c r="D122" s="28"/>
      <c r="E122" s="28"/>
      <c r="F122" s="28"/>
      <c r="G122" s="28"/>
      <c r="H122" s="28"/>
      <c r="I122" s="28"/>
      <c r="J122" s="25" t="s">
        <v>67</v>
      </c>
      <c r="K122" s="53" t="str">
        <f>IF(NOT(K126="keine Korrektur"),"Bitte begründen:","")</f>
        <v/>
      </c>
      <c r="L122" s="20"/>
      <c r="M122" s="20"/>
      <c r="N122" s="25" t="s">
        <v>67</v>
      </c>
      <c r="O122" s="53" t="str">
        <f>IF(NOT(O126="keine Korrektur"),"Bitte begründen:","")</f>
        <v/>
      </c>
      <c r="P122" s="20"/>
      <c r="Q122" s="20"/>
      <c r="R122" s="25" t="s">
        <v>67</v>
      </c>
      <c r="S122" s="53" t="str">
        <f>IF(NOT(S126="keine Korrektur"),"Bitte begründen:","")</f>
        <v/>
      </c>
      <c r="T122" s="20"/>
      <c r="U122" s="20"/>
      <c r="V122" s="25" t="s">
        <v>67</v>
      </c>
      <c r="W122" s="53" t="str">
        <f>IF(NOT(W126="keine Korrektur"),"Bitte begründen:","")</f>
        <v/>
      </c>
      <c r="X122" s="20"/>
      <c r="Y122" s="20"/>
      <c r="Z122" s="25" t="s">
        <v>67</v>
      </c>
      <c r="AA122" s="53" t="str">
        <f>IF(NOT(AA126="keine Korrektur"),"Bitte begründen:","")</f>
        <v/>
      </c>
      <c r="AB122" s="17"/>
      <c r="AD122" s="283"/>
      <c r="AF122" s="20"/>
      <c r="AG122" s="299" t="s">
        <v>250</v>
      </c>
      <c r="AH122" s="300"/>
      <c r="AI122" s="37" t="s">
        <v>272</v>
      </c>
      <c r="AJ122" s="37" t="s">
        <v>273</v>
      </c>
      <c r="AK122" s="37" t="s">
        <v>273</v>
      </c>
      <c r="AL122" s="37" t="s">
        <v>274</v>
      </c>
      <c r="AO122" s="7"/>
    </row>
    <row r="123" spans="3:41" s="5" customFormat="1" ht="15" customHeight="1" x14ac:dyDescent="0.25">
      <c r="C123" s="28"/>
      <c r="D123" s="30"/>
      <c r="E123" s="265" t="str">
        <f>IF($F$95=0,"Bitte auf Blatt (1) Referenzlänge und ggf. rel. Höhe eintragen","&gt; Bemessungswert")</f>
        <v>&gt; Bemessungswert</v>
      </c>
      <c r="F123" s="265"/>
      <c r="G123" s="28"/>
      <c r="H123" s="28"/>
      <c r="I123" s="128" t="str">
        <f>IF(OR(J$128="Bauweise wählen",J$129="Bauweise / Betriebsbedingungen wählen"),"FEHLER",IF($F$95=0,"","&gt; "&amp;ROUND(2.5*$F$95/J$128/J$129,2)&amp;" m"))</f>
        <v>&gt; 0.53 m</v>
      </c>
      <c r="J123" s="223">
        <v>0.35</v>
      </c>
      <c r="K123" s="315"/>
      <c r="L123" s="20"/>
      <c r="M123" s="128" t="str">
        <f>IF(OR(N$128="Bauweise wählen",N$129="Bauweise / Betriebsbedingungen wählen"),"FEHLER",IF($F$95=0,"","&gt; "&amp;ROUND(2.5*$F$95/N$128/N$129,2)&amp;" m"))</f>
        <v>&gt; 0.45 m</v>
      </c>
      <c r="N123" s="223">
        <v>0.5</v>
      </c>
      <c r="O123" s="315"/>
      <c r="P123" s="20"/>
      <c r="Q123" s="128" t="str">
        <f>IF(OR(R$128="Bauweise wählen",R$129="Bauweise / Betriebsbedingungen wählen"),"FEHLER",IF($F$95=0,"","&gt; "&amp;ROUND(2.5*$F$95/R$128/R$129,2)&amp;" m"))</f>
        <v>&gt; 0.53 m</v>
      </c>
      <c r="R123" s="223">
        <v>0.4</v>
      </c>
      <c r="S123" s="315"/>
      <c r="T123" s="20"/>
      <c r="U123" s="128" t="str">
        <f>IF(OR(V$128="Bauweise wählen",V$129="Bauweise / Betriebsbedingungen wählen"),"FEHLER",IF($F$95=0,"","&gt; "&amp;ROUND(2.5*$F$95/V$128/V$129,2)&amp;" m"))</f>
        <v>FEHLER</v>
      </c>
      <c r="V123" s="223"/>
      <c r="W123" s="315"/>
      <c r="X123" s="20"/>
      <c r="Y123" s="128" t="str">
        <f>IF(OR(Z$128="Bauweise wählen",Z$129="Bauweise / Betriebsbedingungen wählen"),"FEHLER",IF($F$95=0,"","&gt; "&amp;ROUND(2.5*$F$95/Z$128/Z$129,2)&amp;" m"))</f>
        <v>FEHLER</v>
      </c>
      <c r="Z123" s="223"/>
      <c r="AA123" s="315"/>
      <c r="AB123" s="18"/>
      <c r="AD123" s="283"/>
      <c r="AF123" s="48"/>
      <c r="AG123" s="305" t="s">
        <v>10</v>
      </c>
      <c r="AH123" s="306"/>
      <c r="AI123" s="25" t="s">
        <v>278</v>
      </c>
      <c r="AJ123" s="25" t="s">
        <v>275</v>
      </c>
      <c r="AK123" s="25" t="s">
        <v>275</v>
      </c>
      <c r="AL123" s="25" t="s">
        <v>281</v>
      </c>
      <c r="AM123" s="6"/>
      <c r="AN123" s="6"/>
      <c r="AO123" s="6"/>
    </row>
    <row r="124" spans="3:41" s="5" customFormat="1" ht="15" customHeight="1" x14ac:dyDescent="0.25">
      <c r="C124" s="71">
        <v>0.8</v>
      </c>
      <c r="D124" s="35"/>
      <c r="E124" s="265" t="str">
        <f>IF($F$95=0,"","Grenzwert bis Bemessungswert")</f>
        <v>Grenzwert bis Bemessungswert</v>
      </c>
      <c r="F124" s="265"/>
      <c r="G124" s="28"/>
      <c r="H124" s="28"/>
      <c r="I124" s="128" t="str">
        <f>IF(OR(J$128="Bauweise wählen",J$129="Bauweise / Betriebsbedingungen wählen"),"",IF($F$95=0,"",ROUND(2.5*$F$95,2)&amp;" bis "&amp;ROUND(2.5*$F$95/J$128/J$129,2)&amp;" m"))</f>
        <v>0.43 bis 0.53 m</v>
      </c>
      <c r="J124" s="223"/>
      <c r="K124" s="315"/>
      <c r="L124" s="20"/>
      <c r="M124" s="128" t="str">
        <f>IF(OR(N$128="Bauweise wählen",N$129="Bauweise / Betriebsbedingungen wählen"),"",IF($F$95=0,"",ROUND(2.5*$F$95,2)&amp;" bis "&amp;ROUND(2.5*$F$95/N$128/N$129,2)&amp;" m"))</f>
        <v>0.43 bis 0.45 m</v>
      </c>
      <c r="N124" s="223"/>
      <c r="O124" s="315"/>
      <c r="P124" s="20"/>
      <c r="Q124" s="128" t="str">
        <f>IF(OR(R$128="Bauweise wählen",R$129="Bauweise / Betriebsbedingungen wählen"),"",IF($F$95=0,"",ROUND(2.5*$F$95,2)&amp;" bis "&amp;ROUND(2.5*$F$95/R$128/R$129,2)&amp;" m"))</f>
        <v>0.43 bis 0.53 m</v>
      </c>
      <c r="R124" s="223"/>
      <c r="S124" s="315"/>
      <c r="T124" s="20"/>
      <c r="U124" s="128" t="str">
        <f>IF(OR(V$128="Bauweise wählen",V$129="Bauweise / Betriebsbedingungen wählen"),"",IF($F$95=0,"",ROUND(2.5*$F$95,2)&amp;" bis "&amp;ROUND(2.5*$F$95/V$128/V$129,2)&amp;" m"))</f>
        <v/>
      </c>
      <c r="V124" s="223"/>
      <c r="W124" s="315"/>
      <c r="X124" s="20"/>
      <c r="Y124" s="128" t="str">
        <f>IF(OR(Z$128="Bauweise wählen",Z$129="Bauweise / Betriebsbedingungen wählen"),"",IF($F$95=0,"",ROUND(2.5*$F$95,2)&amp;" bis "&amp;ROUND(2.5*$F$95/Z$128/Z$129,2)&amp;" m"))</f>
        <v/>
      </c>
      <c r="Z124" s="223"/>
      <c r="AA124" s="315"/>
      <c r="AB124" s="18"/>
      <c r="AD124" s="283"/>
      <c r="AF124" s="49"/>
      <c r="AG124" s="305" t="s">
        <v>42</v>
      </c>
      <c r="AH124" s="306"/>
      <c r="AI124" s="25" t="s">
        <v>279</v>
      </c>
      <c r="AJ124" s="25" t="s">
        <v>276</v>
      </c>
      <c r="AK124" s="25" t="s">
        <v>276</v>
      </c>
      <c r="AL124" s="25" t="s">
        <v>282</v>
      </c>
      <c r="AO124" s="6"/>
    </row>
    <row r="125" spans="3:41" s="5" customFormat="1" ht="15" customHeight="1" x14ac:dyDescent="0.25">
      <c r="C125" s="28"/>
      <c r="D125" s="32"/>
      <c r="E125" s="265" t="str">
        <f>IF($F$95=0,"","&lt; Grenzwert")</f>
        <v>&lt; Grenzwert</v>
      </c>
      <c r="F125" s="265"/>
      <c r="G125" s="28"/>
      <c r="H125" s="28"/>
      <c r="I125" s="128" t="str">
        <f>IF(OR(J$128="Bauweise wählen",J$129="Bauweise / Betriebsbedingungen wählen"),"",IF($F$95=0,"","&lt; "&amp;ROUND(2.5*$F$95,2)&amp;" m"))</f>
        <v>&lt; 0.43 m</v>
      </c>
      <c r="J125" s="223"/>
      <c r="K125" s="315"/>
      <c r="L125" s="20"/>
      <c r="M125" s="128" t="str">
        <f>IF(OR(N$128="Bauweise wählen",N$129="Bauweise / Betriebsbedingungen wählen"),"",IF($F$95=0,"","&lt; "&amp;ROUND(2.5*$F$95,2)&amp;" m"))</f>
        <v>&lt; 0.43 m</v>
      </c>
      <c r="N125" s="223"/>
      <c r="O125" s="315"/>
      <c r="P125" s="20"/>
      <c r="Q125" s="128" t="str">
        <f>IF(OR(R$128="Bauweise wählen",R$129="Bauweise / Betriebsbedingungen wählen"),"",IF($F$95=0,"","&lt; "&amp;ROUND(2.5*$F$95,2)&amp;" m"))</f>
        <v>&lt; 0.43 m</v>
      </c>
      <c r="R125" s="223"/>
      <c r="S125" s="315"/>
      <c r="T125" s="20"/>
      <c r="U125" s="128" t="str">
        <f>IF(OR(V$128="Bauweise wählen",V$129="Bauweise / Betriebsbedingungen wählen"),"",IF($F$95=0,"","&lt; "&amp;ROUND(2.5*$F$95,2)&amp;" m"))</f>
        <v/>
      </c>
      <c r="V125" s="223"/>
      <c r="W125" s="315"/>
      <c r="X125" s="20"/>
      <c r="Y125" s="128" t="str">
        <f>IF(OR(Z$128="Bauweise wählen",Z$129="Bauweise / Betriebsbedingungen wählen"),"",IF($F$95=0,"","&lt; "&amp;ROUND(2.5*$F$95,2)&amp;" m"))</f>
        <v/>
      </c>
      <c r="Z125" s="223"/>
      <c r="AA125" s="315"/>
      <c r="AB125" s="18"/>
      <c r="AD125" s="283"/>
      <c r="AF125" s="50"/>
      <c r="AG125" s="305" t="s">
        <v>43</v>
      </c>
      <c r="AH125" s="306"/>
      <c r="AI125" s="25" t="s">
        <v>280</v>
      </c>
      <c r="AJ125" s="25" t="s">
        <v>277</v>
      </c>
      <c r="AK125" s="25" t="s">
        <v>277</v>
      </c>
      <c r="AL125" s="25" t="s">
        <v>283</v>
      </c>
      <c r="AO125" s="6"/>
    </row>
    <row r="126" spans="3:41" s="5" customFormat="1" ht="15" customHeight="1" x14ac:dyDescent="0.25">
      <c r="C126" s="28"/>
      <c r="D126" s="28"/>
      <c r="E126" s="28"/>
      <c r="F126" s="28"/>
      <c r="G126" s="28"/>
      <c r="H126" s="28"/>
      <c r="I126" s="28"/>
      <c r="J126" s="25" t="str">
        <f>IF($E$95=0,"FEHLER",IF(OR(ISBLANK(J123),NOT(ISNUMBER(J123))),"WERT?",IF(I123="FEHLER","FEHLER",IF(J123&gt;=ROUND(2.5*$F$95/J$128/J$129,2),"gut",IF(AND(J123&gt;=ROUND(2.5*$F$95,2),J123&lt;ROUND(2.5*$F$95/J$128/J$129,2)),"mässig","schlecht")))))</f>
        <v>schlecht</v>
      </c>
      <c r="K126" s="99" t="s">
        <v>45</v>
      </c>
      <c r="L126" s="20"/>
      <c r="M126" s="18"/>
      <c r="N126" s="25" t="str">
        <f>IF($E$95=0,"FEHLER",IF(OR(ISBLANK(N123),NOT(ISNUMBER(N123))),"WERT?",IF(M123="FEHLER","FEHLER",IF(N123&gt;=ROUND(2.5*$F$95/N$128/N$129,2),"gut",IF(AND(N123&gt;=ROUND(2.5*$F$95,2),N123&lt;ROUND(2.5*$F$95/N$128/N$129,2)),"mässig","schlecht")))))</f>
        <v>gut</v>
      </c>
      <c r="O126" s="99" t="s">
        <v>45</v>
      </c>
      <c r="P126" s="20"/>
      <c r="Q126" s="18"/>
      <c r="R126" s="25" t="str">
        <f>IF($E$95=0,"FEHLER",IF(OR(ISBLANK(R123),NOT(ISNUMBER(R123))),"WERT?",IF(Q123="FEHLER","FEHLER",IF(R123&gt;=ROUND(2.5*$F$95/R$128/R$129,2),"gut",IF(AND(R123&gt;=ROUND(2.5*$F$95,2),R123&lt;ROUND(2.5*$F$95/R$128/R$129,2)),"mässig","schlecht")))))</f>
        <v>schlecht</v>
      </c>
      <c r="S126" s="99" t="s">
        <v>45</v>
      </c>
      <c r="T126" s="20"/>
      <c r="U126" s="18"/>
      <c r="V126" s="25" t="str">
        <f>IF($E$95=0,"FEHLER",IF(OR(ISBLANK(V123),NOT(ISNUMBER(V123))),"WERT?",IF(U123="FEHLER","FEHLER",IF(V123&gt;=ROUND(2.5*$F$95/V$128/V$129,2),"gut",IF(AND(V123&gt;=ROUND(2.5*$F$95,2),V123&lt;ROUND(2.5*$F$95/V$128/V$129,2)),"mässig","schlecht")))))</f>
        <v>WERT?</v>
      </c>
      <c r="W126" s="99" t="s">
        <v>45</v>
      </c>
      <c r="X126" s="20"/>
      <c r="Y126" s="18"/>
      <c r="Z126" s="25" t="str">
        <f>IF($E$95=0,"FEHLER",IF(OR(ISBLANK(Z123),NOT(ISNUMBER(Z123))),"WERT?",IF(Y123="FEHLER","FEHLER",IF(Z123&gt;=ROUND(2.5*$F$95/Z$128/Z$129,2),"gut",IF(AND(Z123&gt;=ROUND(2.5*$F$95,2),Z123&lt;ROUND(2.5*$F$95/Z$128/Z$129,2)),"mässig","schlecht")))))</f>
        <v>WERT?</v>
      </c>
      <c r="AA126" s="99" t="s">
        <v>45</v>
      </c>
      <c r="AB126" s="18"/>
      <c r="AD126" s="283"/>
      <c r="AF126" s="28"/>
      <c r="AG126" s="28"/>
      <c r="AH126" s="28"/>
      <c r="AI126" s="28"/>
      <c r="AJ126" s="28"/>
      <c r="AK126" s="28"/>
      <c r="AL126" s="28"/>
      <c r="AO126" s="6"/>
    </row>
    <row r="127" spans="3:41" s="5" customFormat="1" ht="15" customHeight="1" x14ac:dyDescent="0.25">
      <c r="C127" s="28"/>
      <c r="D127" s="28"/>
      <c r="E127" s="28"/>
      <c r="F127" s="28"/>
      <c r="G127" s="28"/>
      <c r="H127" s="28"/>
      <c r="I127" s="28"/>
      <c r="J127" s="18"/>
      <c r="K127" s="18"/>
      <c r="L127" s="18"/>
      <c r="M127" s="18"/>
      <c r="N127" s="18"/>
      <c r="O127" s="18"/>
      <c r="P127" s="18"/>
      <c r="Q127" s="18"/>
      <c r="R127" s="18"/>
      <c r="S127" s="18"/>
      <c r="T127" s="18"/>
      <c r="U127" s="18"/>
      <c r="V127" s="18"/>
      <c r="W127" s="18"/>
      <c r="X127" s="18"/>
      <c r="Y127" s="18"/>
      <c r="Z127" s="18"/>
      <c r="AA127" s="18"/>
      <c r="AB127" s="18"/>
      <c r="AD127" s="283"/>
      <c r="AF127" s="28"/>
      <c r="AG127" s="28"/>
      <c r="AH127" s="28"/>
      <c r="AI127" s="28"/>
      <c r="AJ127" s="28"/>
      <c r="AK127" s="28"/>
      <c r="AL127" s="28"/>
      <c r="AO127" s="6"/>
    </row>
    <row r="128" spans="3:41" s="5" customFormat="1" ht="15" customHeight="1" x14ac:dyDescent="0.25">
      <c r="J128" s="139">
        <f>'(3) Variantenbewertung'!I$28</f>
        <v>0.8</v>
      </c>
      <c r="K128" s="1"/>
      <c r="L128" s="16"/>
      <c r="M128" s="16"/>
      <c r="N128" s="139">
        <f>'(3) Variantenbewertung'!L$28</f>
        <v>1</v>
      </c>
      <c r="O128" s="1"/>
      <c r="P128" s="16"/>
      <c r="Q128" s="16"/>
      <c r="R128" s="139">
        <f>'(3) Variantenbewertung'!O$28</f>
        <v>0.8</v>
      </c>
      <c r="S128" s="1"/>
      <c r="T128" s="16"/>
      <c r="U128" s="16"/>
      <c r="V128" s="139" t="str">
        <f>'(3) Variantenbewertung'!R$28</f>
        <v>Bauweise wählen</v>
      </c>
      <c r="W128" s="1"/>
      <c r="X128" s="16"/>
      <c r="Y128" s="16"/>
      <c r="Z128" s="139" t="str">
        <f>'(3) Variantenbewertung'!U$28</f>
        <v>Bauweise wählen</v>
      </c>
      <c r="AA128" s="1"/>
      <c r="AB128" s="1"/>
      <c r="AD128" s="283"/>
      <c r="AI128" s="6"/>
      <c r="AO128" s="6"/>
    </row>
    <row r="129" spans="3:41" s="5" customFormat="1" ht="15" customHeight="1" x14ac:dyDescent="0.25">
      <c r="J129" s="139">
        <f>'(3) Variantenbewertung'!I$35</f>
        <v>1</v>
      </c>
      <c r="K129" s="1"/>
      <c r="L129" s="1"/>
      <c r="M129" s="1"/>
      <c r="N129" s="139">
        <f>'(3) Variantenbewertung'!L$35</f>
        <v>0.95</v>
      </c>
      <c r="O129" s="1"/>
      <c r="P129" s="1"/>
      <c r="Q129" s="1"/>
      <c r="R129" s="139">
        <f>'(3) Variantenbewertung'!O$35</f>
        <v>1</v>
      </c>
      <c r="S129" s="1"/>
      <c r="T129" s="1"/>
      <c r="U129" s="1"/>
      <c r="V129" s="139" t="str">
        <f>'(3) Variantenbewertung'!R$35</f>
        <v/>
      </c>
      <c r="W129" s="1"/>
      <c r="X129" s="1"/>
      <c r="Y129" s="1"/>
      <c r="Z129" s="139" t="str">
        <f>'(3) Variantenbewertung'!U$35</f>
        <v/>
      </c>
      <c r="AA129" s="1"/>
      <c r="AB129" s="1"/>
      <c r="AD129" s="283"/>
      <c r="AI129" s="6"/>
      <c r="AO129" s="6"/>
    </row>
    <row r="130" spans="3:41" s="5" customFormat="1" ht="15" customHeight="1" x14ac:dyDescent="0.25">
      <c r="C130" s="266" t="s">
        <v>356</v>
      </c>
      <c r="D130" s="266"/>
      <c r="E130" s="266"/>
      <c r="F130" s="266"/>
      <c r="G130" s="266"/>
      <c r="H130" s="45"/>
      <c r="I130" s="28"/>
      <c r="J130" s="18"/>
      <c r="K130" s="18"/>
      <c r="L130" s="18"/>
      <c r="M130" s="18"/>
      <c r="N130" s="18"/>
      <c r="O130" s="18"/>
      <c r="P130" s="18"/>
      <c r="Q130" s="18"/>
      <c r="R130" s="18"/>
      <c r="S130" s="18"/>
      <c r="T130" s="18"/>
      <c r="U130" s="18"/>
      <c r="V130" s="18"/>
      <c r="W130" s="18"/>
      <c r="X130" s="18"/>
      <c r="Y130" s="18"/>
      <c r="Z130" s="18"/>
      <c r="AA130" s="18"/>
      <c r="AB130" s="18"/>
      <c r="AD130" s="283"/>
      <c r="AF130" s="28"/>
      <c r="AG130" s="28"/>
      <c r="AH130" s="266"/>
      <c r="AI130" s="266"/>
      <c r="AJ130" s="266"/>
      <c r="AK130" s="266"/>
      <c r="AL130" s="266"/>
      <c r="AM130" s="6"/>
      <c r="AN130" s="6"/>
      <c r="AO130" s="6"/>
    </row>
    <row r="131" spans="3:41" s="5" customFormat="1" ht="15" customHeight="1" x14ac:dyDescent="0.25">
      <c r="C131" s="28"/>
      <c r="D131" s="263" t="s">
        <v>306</v>
      </c>
      <c r="E131" s="263"/>
      <c r="F131" s="263"/>
      <c r="G131" s="263"/>
      <c r="H131" s="180"/>
      <c r="I131" s="70"/>
      <c r="J131" s="316" t="str">
        <f>IF(ISBLANK('(3) Variantenbewertung'!$I$11),"",'(3) Variantenbewertung'!$I$11)</f>
        <v>V1</v>
      </c>
      <c r="K131" s="316"/>
      <c r="L131" s="18"/>
      <c r="M131" s="18"/>
      <c r="N131" s="316" t="str">
        <f>IF(ISBLANK('(3) Variantenbewertung'!$L$11),"",'(3) Variantenbewertung'!$L$11)</f>
        <v>V2</v>
      </c>
      <c r="O131" s="316"/>
      <c r="P131" s="18"/>
      <c r="Q131" s="18"/>
      <c r="R131" s="316" t="str">
        <f>IF(ISBLANK('(3) Variantenbewertung'!$O$11),"",'(3) Variantenbewertung'!$O$11)</f>
        <v>V3</v>
      </c>
      <c r="S131" s="316"/>
      <c r="T131" s="55"/>
      <c r="U131" s="18"/>
      <c r="V131" s="316" t="str">
        <f>IF(ISBLANK('(3) Variantenbewertung'!$R$11),"",'(3) Variantenbewertung'!$R$11)</f>
        <v/>
      </c>
      <c r="W131" s="316"/>
      <c r="X131" s="18"/>
      <c r="Y131" s="18"/>
      <c r="Z131" s="316" t="str">
        <f>IF(ISBLANK('(3) Variantenbewertung'!$U$11),"",'(3) Variantenbewertung'!$U$11)</f>
        <v/>
      </c>
      <c r="AA131" s="316"/>
      <c r="AB131" s="18"/>
      <c r="AD131" s="283"/>
      <c r="AF131" s="18"/>
      <c r="AG131" s="28"/>
      <c r="AH131" s="18"/>
      <c r="AI131" s="302" t="s">
        <v>11</v>
      </c>
      <c r="AJ131" s="292" t="s">
        <v>12</v>
      </c>
      <c r="AK131" s="301"/>
      <c r="AL131" s="293"/>
      <c r="AO131" s="7"/>
    </row>
    <row r="132" spans="3:41" s="5" customFormat="1" ht="15" customHeight="1" x14ac:dyDescent="0.25">
      <c r="C132" s="28"/>
      <c r="D132" s="263"/>
      <c r="E132" s="263"/>
      <c r="F132" s="263"/>
      <c r="G132" s="263"/>
      <c r="H132" s="180"/>
      <c r="I132" s="28"/>
      <c r="J132" s="132" t="s">
        <v>221</v>
      </c>
      <c r="K132" s="133" t="s">
        <v>222</v>
      </c>
      <c r="L132" s="126"/>
      <c r="M132" s="17"/>
      <c r="N132" s="132" t="s">
        <v>221</v>
      </c>
      <c r="O132" s="133" t="s">
        <v>222</v>
      </c>
      <c r="P132" s="126"/>
      <c r="Q132" s="17"/>
      <c r="R132" s="132" t="s">
        <v>221</v>
      </c>
      <c r="S132" s="133" t="s">
        <v>222</v>
      </c>
      <c r="T132" s="126"/>
      <c r="U132" s="17"/>
      <c r="V132" s="132" t="s">
        <v>221</v>
      </c>
      <c r="W132" s="133" t="s">
        <v>222</v>
      </c>
      <c r="X132" s="126"/>
      <c r="Y132" s="17"/>
      <c r="Z132" s="132" t="s">
        <v>221</v>
      </c>
      <c r="AA132" s="133" t="s">
        <v>222</v>
      </c>
      <c r="AB132" s="17"/>
      <c r="AD132" s="283"/>
      <c r="AF132" s="18"/>
      <c r="AG132" s="28"/>
      <c r="AH132" s="18"/>
      <c r="AI132" s="303"/>
      <c r="AJ132" s="37" t="s">
        <v>0</v>
      </c>
      <c r="AK132" s="37" t="s">
        <v>1</v>
      </c>
      <c r="AL132" s="37" t="s">
        <v>2</v>
      </c>
      <c r="AO132" s="7"/>
    </row>
    <row r="133" spans="3:41" s="5" customFormat="1" ht="15" customHeight="1" x14ac:dyDescent="0.25">
      <c r="C133" s="28"/>
      <c r="D133" s="28"/>
      <c r="E133" s="28"/>
      <c r="F133" s="28"/>
      <c r="G133" s="28"/>
      <c r="H133" s="28"/>
      <c r="I133" s="28"/>
      <c r="J133" s="25" t="s">
        <v>328</v>
      </c>
      <c r="K133" s="53" t="str">
        <f>IF(NOT(K137="keine Korrektur"),"Bitte begründen:","")</f>
        <v/>
      </c>
      <c r="L133" s="20"/>
      <c r="M133" s="20"/>
      <c r="N133" s="25" t="s">
        <v>328</v>
      </c>
      <c r="O133" s="53" t="str">
        <f>IF(NOT(O137="keine Korrektur"),"Bitte begründen:","")</f>
        <v/>
      </c>
      <c r="P133" s="20"/>
      <c r="Q133" s="20"/>
      <c r="R133" s="25" t="s">
        <v>328</v>
      </c>
      <c r="S133" s="53" t="str">
        <f>IF(NOT(S137="keine Korrektur"),"Bitte begründen:","")</f>
        <v/>
      </c>
      <c r="T133" s="20"/>
      <c r="U133" s="20"/>
      <c r="V133" s="25" t="s">
        <v>328</v>
      </c>
      <c r="W133" s="53" t="str">
        <f>IF(NOT(W137="keine Korrektur"),"Bitte begründen:","")</f>
        <v/>
      </c>
      <c r="X133" s="20"/>
      <c r="Y133" s="20"/>
      <c r="Z133" s="25" t="s">
        <v>328</v>
      </c>
      <c r="AA133" s="53" t="str">
        <f>IF(NOT(AA137="keine Korrektur"),"Bitte begründen:","")</f>
        <v/>
      </c>
      <c r="AB133" s="17"/>
      <c r="AD133" s="283"/>
      <c r="AF133" s="20"/>
      <c r="AG133" s="299" t="s">
        <v>250</v>
      </c>
      <c r="AH133" s="300"/>
      <c r="AI133" s="37" t="s">
        <v>272</v>
      </c>
      <c r="AJ133" s="37" t="s">
        <v>273</v>
      </c>
      <c r="AK133" s="37" t="s">
        <v>273</v>
      </c>
      <c r="AL133" s="37" t="s">
        <v>274</v>
      </c>
      <c r="AO133" s="7"/>
    </row>
    <row r="134" spans="3:41" s="5" customFormat="1" ht="15" customHeight="1" x14ac:dyDescent="0.25">
      <c r="C134" s="28"/>
      <c r="D134" s="30"/>
      <c r="E134" s="265" t="str">
        <f>IF($F$95=0,"Bitte auf Blatt (1) Referenzlänge und ggf. rel. Höhe eintragen","&gt; Bemessungswert")</f>
        <v>&gt; Bemessungswert</v>
      </c>
      <c r="F134" s="265"/>
      <c r="G134" s="28"/>
      <c r="H134" s="28"/>
      <c r="I134" s="128" t="str">
        <f>IF(OR(J$139="Bauweise wählen",J$140="Bauweise / Betriebsbedingungen wählen"),"FEHLER",IF($F$95=0,"","&gt; "&amp;ROUND(2*$F$95/J$139/J$140,2)&amp;" m"))</f>
        <v>&gt; 0.43 m</v>
      </c>
      <c r="J134" s="223">
        <v>0.37</v>
      </c>
      <c r="K134" s="315"/>
      <c r="L134" s="20"/>
      <c r="M134" s="128" t="str">
        <f>IF(OR(N$139="Bauweise wählen",N$140="Bauweise / Betriebsbedingungen wählen"),"FEHLER",IF($F$95=0,"","&gt; "&amp;ROUND(2*$F$95/N$139/N$140,2)&amp;" m"))</f>
        <v>&gt; 0.36 m</v>
      </c>
      <c r="N134" s="223">
        <v>0.33</v>
      </c>
      <c r="O134" s="315"/>
      <c r="P134" s="20"/>
      <c r="Q134" s="128" t="str">
        <f>IF(OR(R$139="Bauweise wählen",R$140="Bauweise / Betriebsbedingungen wählen"),"FEHLER",IF($F$95=0,"","&gt; "&amp;ROUND(2*$F$95/R$139/R$140,2)&amp;" m"))</f>
        <v>&gt; 0.43 m</v>
      </c>
      <c r="R134" s="223">
        <v>0.45</v>
      </c>
      <c r="S134" s="315"/>
      <c r="T134" s="20"/>
      <c r="U134" s="128" t="str">
        <f>IF(OR(V$139="Bauweise wählen",V$140="Bauweise / Betriebsbedingungen wählen"),"FEHLER",IF($F$95=0,"","&gt; "&amp;ROUND(2*$F$95/V$139/V$140,2)&amp;" m"))</f>
        <v>FEHLER</v>
      </c>
      <c r="V134" s="223"/>
      <c r="W134" s="315"/>
      <c r="X134" s="20"/>
      <c r="Y134" s="128" t="str">
        <f>IF(OR(Z$139="Bauweise wählen",Z$140="Bauweise / Betriebsbedingungen wählen"),"FEHLER",IF($F$95=0,"","&gt; "&amp;ROUND(2*$F$95/Z$139/Z$140,2)&amp;" m"))</f>
        <v>FEHLER</v>
      </c>
      <c r="Z134" s="223"/>
      <c r="AA134" s="315"/>
      <c r="AB134" s="18"/>
      <c r="AD134" s="283"/>
      <c r="AF134" s="48"/>
      <c r="AG134" s="305" t="s">
        <v>10</v>
      </c>
      <c r="AH134" s="306"/>
      <c r="AI134" s="25" t="s">
        <v>284</v>
      </c>
      <c r="AJ134" s="25" t="s">
        <v>287</v>
      </c>
      <c r="AK134" s="25" t="s">
        <v>287</v>
      </c>
      <c r="AL134" s="25" t="s">
        <v>288</v>
      </c>
      <c r="AM134" s="6"/>
      <c r="AN134" s="6"/>
      <c r="AO134" s="6"/>
    </row>
    <row r="135" spans="3:41" s="5" customFormat="1" ht="15" customHeight="1" x14ac:dyDescent="0.25">
      <c r="C135" s="71">
        <v>0.8</v>
      </c>
      <c r="D135" s="35"/>
      <c r="E135" s="265" t="str">
        <f>IF($F$95=0,"","Grenzwert bis Bemessungswert")</f>
        <v>Grenzwert bis Bemessungswert</v>
      </c>
      <c r="F135" s="265"/>
      <c r="G135" s="28"/>
      <c r="H135" s="28"/>
      <c r="I135" s="128" t="str">
        <f>IF(OR(J$139="Bauweise wählen",J$140="Bauweise / Betriebsbedingungen wählen"),"",IF($F$95=0,"",ROUND(2*$F$95,2)&amp;" bis "&amp;ROUND(2*$F$95/J$139/J$140,2)&amp;" m"))</f>
        <v>0.34 bis 0.43 m</v>
      </c>
      <c r="J135" s="223"/>
      <c r="K135" s="315"/>
      <c r="L135" s="20"/>
      <c r="M135" s="128" t="str">
        <f>IF(OR(N$139="Bauweise wählen",N$140="Bauweise / Betriebsbedingungen wählen"),"",IF($F$95=0,"",ROUND(2*$F$95,2)&amp;" bis "&amp;ROUND(2*$F$95/N$139/N$140,2)&amp;" m"))</f>
        <v>0.34 bis 0.36 m</v>
      </c>
      <c r="N135" s="223"/>
      <c r="O135" s="315"/>
      <c r="P135" s="20"/>
      <c r="Q135" s="128" t="str">
        <f>IF(OR(R$139="Bauweise wählen",R$140="Bauweise / Betriebsbedingungen wählen"),"",IF($F$95=0,"",ROUND(2*$F$95,2)&amp;" bis "&amp;ROUND(2*$F$95/R$139/R$140,2)&amp;" m"))</f>
        <v>0.34 bis 0.43 m</v>
      </c>
      <c r="R135" s="223"/>
      <c r="S135" s="315"/>
      <c r="T135" s="20"/>
      <c r="U135" s="128" t="str">
        <f>IF(OR(V$139="Bauweise wählen",V$140="Bauweise / Betriebsbedingungen wählen"),"",IF($F$95=0,"",ROUND(2*$F$95,2)&amp;" bis "&amp;ROUND(2*$F$95/V$139/V$140,2)&amp;" m"))</f>
        <v/>
      </c>
      <c r="V135" s="223"/>
      <c r="W135" s="315"/>
      <c r="X135" s="20"/>
      <c r="Y135" s="128" t="str">
        <f>IF(OR(Z$139="Bauweise wählen",Z$140="Bauweise / Betriebsbedingungen wählen"),"",IF($F$95=0,"",ROUND(2*$F$95,2)&amp;" bis "&amp;ROUND(2*$F$95/Z$139/Z$140,2)&amp;" m"))</f>
        <v/>
      </c>
      <c r="Z135" s="223"/>
      <c r="AA135" s="315"/>
      <c r="AB135" s="18"/>
      <c r="AD135" s="304" t="s">
        <v>44</v>
      </c>
      <c r="AF135" s="49"/>
      <c r="AG135" s="305" t="s">
        <v>42</v>
      </c>
      <c r="AH135" s="306"/>
      <c r="AI135" s="25" t="s">
        <v>285</v>
      </c>
      <c r="AJ135" s="25" t="s">
        <v>329</v>
      </c>
      <c r="AK135" s="25" t="s">
        <v>329</v>
      </c>
      <c r="AL135" s="25" t="s">
        <v>289</v>
      </c>
      <c r="AO135" s="6"/>
    </row>
    <row r="136" spans="3:41" s="5" customFormat="1" ht="15" customHeight="1" x14ac:dyDescent="0.25">
      <c r="C136" s="28"/>
      <c r="D136" s="32"/>
      <c r="E136" s="265" t="str">
        <f>IF($F$95=0,"","&lt; Grenzwert")</f>
        <v>&lt; Grenzwert</v>
      </c>
      <c r="F136" s="265"/>
      <c r="G136" s="28"/>
      <c r="H136" s="28"/>
      <c r="I136" s="128" t="str">
        <f>IF(OR(J$139="Bauweise wählen",J$140="Bauweise / Betriebsbedingungen wählen"),"",IF($F$95=0,"","&lt; "&amp;ROUND(2*$F$95,2)&amp;" m"))</f>
        <v>&lt; 0.34 m</v>
      </c>
      <c r="J136" s="223"/>
      <c r="K136" s="315"/>
      <c r="L136" s="20"/>
      <c r="M136" s="128" t="str">
        <f>IF(OR(N$139="Bauweise wählen",N$140="Bauweise / Betriebsbedingungen wählen"),"",IF($F$95=0,"","&lt; "&amp;ROUND(2*$F$95,2)&amp;" m"))</f>
        <v>&lt; 0.34 m</v>
      </c>
      <c r="N136" s="223"/>
      <c r="O136" s="315"/>
      <c r="P136" s="20"/>
      <c r="Q136" s="128" t="str">
        <f>IF(OR(R$139="Bauweise wählen",R$140="Bauweise / Betriebsbedingungen wählen"),"",IF($F$95=0,"","&lt; "&amp;ROUND(2*$F$95,2)&amp;" m"))</f>
        <v>&lt; 0.34 m</v>
      </c>
      <c r="R136" s="223"/>
      <c r="S136" s="315"/>
      <c r="T136" s="20"/>
      <c r="U136" s="128" t="str">
        <f>IF(OR(V$139="Bauweise wählen",V$140="Bauweise / Betriebsbedingungen wählen"),"",IF($F$95=0,"","&lt; "&amp;ROUND(2*$F$95,2)&amp;" m"))</f>
        <v/>
      </c>
      <c r="V136" s="223"/>
      <c r="W136" s="315"/>
      <c r="X136" s="20"/>
      <c r="Y136" s="128" t="str">
        <f>IF(OR(Z$139="Bauweise wählen",Z$140="Bauweise / Betriebsbedingungen wählen"),"",IF($F$95=0,"","&lt; "&amp;ROUND(2*$F$95,2)&amp;" m"))</f>
        <v/>
      </c>
      <c r="Z136" s="223"/>
      <c r="AA136" s="315"/>
      <c r="AB136" s="18"/>
      <c r="AD136" s="304"/>
      <c r="AF136" s="50"/>
      <c r="AG136" s="305" t="s">
        <v>43</v>
      </c>
      <c r="AH136" s="306"/>
      <c r="AI136" s="25" t="s">
        <v>286</v>
      </c>
      <c r="AJ136" s="25" t="s">
        <v>330</v>
      </c>
      <c r="AK136" s="25" t="s">
        <v>330</v>
      </c>
      <c r="AL136" s="25" t="s">
        <v>290</v>
      </c>
      <c r="AO136" s="6"/>
    </row>
    <row r="137" spans="3:41" s="5" customFormat="1" ht="15" customHeight="1" x14ac:dyDescent="0.25">
      <c r="C137" s="28"/>
      <c r="D137" s="28"/>
      <c r="E137" s="28"/>
      <c r="F137" s="28"/>
      <c r="G137" s="28"/>
      <c r="H137" s="28"/>
      <c r="I137" s="28"/>
      <c r="J137" s="25" t="str">
        <f>IF($E$95=0,"FEHLER",IF(OR(ISBLANK(J134),NOT(ISNUMBER(J134))),"WERT?",IF(I134="FEHLER","FEHLER",IF(J134&gt;=ROUND(2*$F$95/J$139/J$140,2),"gut",IF(AND(J134&gt;=ROUND(2*$F$95,2),J134&lt;ROUND(2*$F$95/J$139/J$140,2)),"mässig","schlecht")))))</f>
        <v>mässig</v>
      </c>
      <c r="K137" s="99" t="s">
        <v>45</v>
      </c>
      <c r="L137" s="20"/>
      <c r="M137" s="18"/>
      <c r="N137" s="25" t="str">
        <f>IF($E$95=0,"FEHLER",IF(OR(ISBLANK(N134),NOT(ISNUMBER(N134))),"WERT?",IF(M134="FEHLER","FEHLER",IF(N134&gt;=ROUND(2*$F$95/N$139/N$140,2),"gut",IF(AND(N134&gt;=ROUND(2*$F$95,2),N134&lt;ROUND(2*$F$95/N$139/N$140,2)),"mässig","schlecht")))))</f>
        <v>schlecht</v>
      </c>
      <c r="O137" s="99" t="s">
        <v>45</v>
      </c>
      <c r="P137" s="20"/>
      <c r="Q137" s="18"/>
      <c r="R137" s="25" t="str">
        <f>IF($E$95=0,"FEHLER",IF(OR(ISBLANK(R134),NOT(ISNUMBER(R134))),"WERT?",IF(Q134="FEHLER","FEHLER",IF(R134&gt;=ROUND(2*$F$95/R$139/R$140,2),"gut",IF(AND(R134&gt;=ROUND(2*$F$95,2),R134&lt;ROUND(2*$F$95/R$139/R$140,2)),"mässig","schlecht")))))</f>
        <v>gut</v>
      </c>
      <c r="S137" s="99" t="s">
        <v>45</v>
      </c>
      <c r="T137" s="20"/>
      <c r="U137" s="18"/>
      <c r="V137" s="25" t="str">
        <f>IF($E$95=0,"FEHLER",IF(OR(ISBLANK(V134),NOT(ISNUMBER(V134))),"WERT?",IF(U134="FEHLER","FEHLER",IF(V134&gt;=ROUND(2*$F$95/V$139/V$140,2),"gut",IF(AND(V134&gt;=ROUND(2*$F$95,2),V134&lt;ROUND(2*$F$95/V$139/V$140,2)),"mässig","schlecht")))))</f>
        <v>WERT?</v>
      </c>
      <c r="W137" s="99" t="s">
        <v>45</v>
      </c>
      <c r="X137" s="20"/>
      <c r="Y137" s="18"/>
      <c r="Z137" s="25" t="str">
        <f>IF($E$95=0,"FEHLER",IF(OR(ISBLANK(Z134),NOT(ISNUMBER(Z134))),"WERT?",IF(Y134="FEHLER","FEHLER",IF(Z134&gt;=ROUND(2*$F$95/Z$139/Z$140,2),"gut",IF(AND(Z134&gt;=ROUND(2*$F$95,2),Z134&lt;ROUND(2*$F$95/Z$139/Z$140,2)),"mässig","schlecht")))))</f>
        <v>WERT?</v>
      </c>
      <c r="AA137" s="99" t="s">
        <v>45</v>
      </c>
      <c r="AB137" s="18"/>
      <c r="AD137" s="51"/>
      <c r="AF137" s="28"/>
      <c r="AG137" s="28"/>
      <c r="AH137" s="28"/>
      <c r="AI137" s="28"/>
      <c r="AJ137" s="28"/>
      <c r="AK137" s="28"/>
      <c r="AL137" s="28"/>
      <c r="AO137" s="6"/>
    </row>
    <row r="138" spans="3:41" s="5" customFormat="1" ht="15" customHeight="1" x14ac:dyDescent="0.25">
      <c r="C138" s="28"/>
      <c r="D138" s="28"/>
      <c r="E138" s="28"/>
      <c r="F138" s="28"/>
      <c r="G138" s="28"/>
      <c r="H138" s="28"/>
      <c r="I138" s="28"/>
      <c r="J138" s="18"/>
      <c r="K138" s="18"/>
      <c r="L138" s="18"/>
      <c r="M138" s="18"/>
      <c r="N138" s="18"/>
      <c r="O138" s="18"/>
      <c r="P138" s="18"/>
      <c r="Q138" s="18"/>
      <c r="R138" s="18"/>
      <c r="S138" s="18"/>
      <c r="T138" s="18"/>
      <c r="U138" s="18"/>
      <c r="V138" s="18"/>
      <c r="W138" s="18"/>
      <c r="X138" s="18"/>
      <c r="Y138" s="18"/>
      <c r="Z138" s="18"/>
      <c r="AA138" s="18"/>
      <c r="AB138" s="18"/>
      <c r="AD138" s="51"/>
      <c r="AF138" s="28"/>
      <c r="AG138" s="28"/>
      <c r="AH138" s="28"/>
      <c r="AI138" s="28"/>
      <c r="AJ138" s="28"/>
      <c r="AK138" s="28"/>
      <c r="AL138" s="28"/>
      <c r="AO138" s="6"/>
    </row>
    <row r="139" spans="3:41" s="5" customFormat="1" ht="15" customHeight="1" x14ac:dyDescent="0.25">
      <c r="J139" s="139">
        <f>'(3) Variantenbewertung'!I$28</f>
        <v>0.8</v>
      </c>
      <c r="K139" s="1"/>
      <c r="L139" s="16"/>
      <c r="M139" s="16"/>
      <c r="N139" s="139">
        <f>'(3) Variantenbewertung'!L$28</f>
        <v>1</v>
      </c>
      <c r="O139" s="1"/>
      <c r="P139" s="16"/>
      <c r="Q139" s="16"/>
      <c r="R139" s="139">
        <f>'(3) Variantenbewertung'!O$28</f>
        <v>0.8</v>
      </c>
      <c r="S139" s="1"/>
      <c r="T139" s="16"/>
      <c r="U139" s="16"/>
      <c r="V139" s="139" t="str">
        <f>'(3) Variantenbewertung'!R$28</f>
        <v>Bauweise wählen</v>
      </c>
      <c r="W139" s="1"/>
      <c r="X139" s="16"/>
      <c r="Y139" s="16"/>
      <c r="Z139" s="139" t="str">
        <f>'(3) Variantenbewertung'!U$28</f>
        <v>Bauweise wählen</v>
      </c>
      <c r="AA139" s="1"/>
      <c r="AB139" s="1"/>
      <c r="AD139" s="51"/>
      <c r="AO139" s="7"/>
    </row>
    <row r="140" spans="3:41" s="5" customFormat="1" ht="15" customHeight="1" x14ac:dyDescent="0.25">
      <c r="J140" s="139">
        <f>'(3) Variantenbewertung'!I$35</f>
        <v>1</v>
      </c>
      <c r="K140" s="1"/>
      <c r="L140" s="1"/>
      <c r="M140" s="1"/>
      <c r="N140" s="139">
        <f>'(3) Variantenbewertung'!L$35</f>
        <v>0.95</v>
      </c>
      <c r="O140" s="1"/>
      <c r="P140" s="1"/>
      <c r="Q140" s="1"/>
      <c r="R140" s="139">
        <f>'(3) Variantenbewertung'!O$35</f>
        <v>1</v>
      </c>
      <c r="S140" s="1"/>
      <c r="T140" s="1"/>
      <c r="U140" s="1"/>
      <c r="V140" s="139" t="str">
        <f>'(3) Variantenbewertung'!R$35</f>
        <v/>
      </c>
      <c r="W140" s="1"/>
      <c r="X140" s="1"/>
      <c r="Y140" s="1"/>
      <c r="Z140" s="139" t="str">
        <f>'(3) Variantenbewertung'!U$35</f>
        <v/>
      </c>
      <c r="AA140" s="1"/>
      <c r="AB140" s="1"/>
      <c r="AD140" s="51"/>
      <c r="AO140" s="7"/>
    </row>
    <row r="141" spans="3:41" s="5" customFormat="1" ht="15" customHeight="1" x14ac:dyDescent="0.25">
      <c r="C141" s="266" t="s">
        <v>357</v>
      </c>
      <c r="D141" s="266"/>
      <c r="E141" s="266"/>
      <c r="F141" s="266"/>
      <c r="G141" s="28"/>
      <c r="H141" s="28"/>
      <c r="I141" s="28"/>
      <c r="J141" s="18"/>
      <c r="K141" s="18"/>
      <c r="L141" s="18"/>
      <c r="M141" s="18"/>
      <c r="N141" s="18"/>
      <c r="O141" s="18"/>
      <c r="P141" s="18"/>
      <c r="Q141" s="18"/>
      <c r="R141" s="18"/>
      <c r="S141" s="18"/>
      <c r="T141" s="18"/>
      <c r="U141" s="18"/>
      <c r="V141" s="18"/>
      <c r="W141" s="18"/>
      <c r="X141" s="18"/>
      <c r="Y141" s="18"/>
      <c r="Z141" s="18"/>
      <c r="AA141" s="18"/>
      <c r="AB141" s="18"/>
      <c r="AD141" s="51"/>
      <c r="AF141" s="27"/>
      <c r="AG141" s="28"/>
      <c r="AH141" s="27"/>
      <c r="AI141" s="46"/>
      <c r="AJ141" s="47"/>
      <c r="AK141" s="47"/>
      <c r="AL141" s="47"/>
      <c r="AO141" s="7"/>
    </row>
    <row r="142" spans="3:41" s="5" customFormat="1" ht="15" customHeight="1" x14ac:dyDescent="0.25">
      <c r="C142" s="28"/>
      <c r="D142" s="263" t="s">
        <v>307</v>
      </c>
      <c r="E142" s="263"/>
      <c r="F142" s="263"/>
      <c r="G142" s="263"/>
      <c r="H142" s="180"/>
      <c r="I142" s="70"/>
      <c r="J142" s="316" t="str">
        <f>IF(ISBLANK('(3) Variantenbewertung'!$I$11),"",'(3) Variantenbewertung'!$I$11)</f>
        <v>V1</v>
      </c>
      <c r="K142" s="316"/>
      <c r="L142" s="18"/>
      <c r="M142" s="18"/>
      <c r="N142" s="316" t="str">
        <f>IF(ISBLANK('(3) Variantenbewertung'!$L$11),"",'(3) Variantenbewertung'!$L$11)</f>
        <v>V2</v>
      </c>
      <c r="O142" s="316"/>
      <c r="P142" s="18"/>
      <c r="Q142" s="18"/>
      <c r="R142" s="316" t="str">
        <f>IF(ISBLANK('(3) Variantenbewertung'!$O$11),"",'(3) Variantenbewertung'!$O$11)</f>
        <v>V3</v>
      </c>
      <c r="S142" s="316"/>
      <c r="T142" s="55"/>
      <c r="U142" s="18"/>
      <c r="V142" s="316" t="str">
        <f>IF(ISBLANK('(3) Variantenbewertung'!$R$11),"",'(3) Variantenbewertung'!$R$11)</f>
        <v/>
      </c>
      <c r="W142" s="316"/>
      <c r="X142" s="18"/>
      <c r="Y142" s="18"/>
      <c r="Z142" s="316" t="str">
        <f>IF(ISBLANK('(3) Variantenbewertung'!$U$11),"",'(3) Variantenbewertung'!$U$11)</f>
        <v/>
      </c>
      <c r="AA142" s="316"/>
      <c r="AB142" s="18"/>
      <c r="AD142" s="51"/>
      <c r="AF142" s="18"/>
      <c r="AG142" s="28"/>
      <c r="AH142" s="18"/>
      <c r="AI142" s="302" t="s">
        <v>11</v>
      </c>
      <c r="AJ142" s="292" t="s">
        <v>12</v>
      </c>
      <c r="AK142" s="301"/>
      <c r="AL142" s="293"/>
      <c r="AO142" s="7"/>
    </row>
    <row r="143" spans="3:41" s="5" customFormat="1" ht="15" customHeight="1" x14ac:dyDescent="0.25">
      <c r="C143" s="28"/>
      <c r="D143" s="263"/>
      <c r="E143" s="263"/>
      <c r="F143" s="263"/>
      <c r="G143" s="263"/>
      <c r="H143" s="180"/>
      <c r="I143" s="28"/>
      <c r="J143" s="132" t="s">
        <v>221</v>
      </c>
      <c r="K143" s="133" t="s">
        <v>222</v>
      </c>
      <c r="L143" s="126"/>
      <c r="M143" s="17"/>
      <c r="N143" s="132" t="s">
        <v>221</v>
      </c>
      <c r="O143" s="133" t="s">
        <v>222</v>
      </c>
      <c r="P143" s="126"/>
      <c r="Q143" s="17"/>
      <c r="R143" s="132" t="s">
        <v>221</v>
      </c>
      <c r="S143" s="133" t="s">
        <v>222</v>
      </c>
      <c r="T143" s="126"/>
      <c r="U143" s="17"/>
      <c r="V143" s="132" t="s">
        <v>221</v>
      </c>
      <c r="W143" s="133" t="s">
        <v>222</v>
      </c>
      <c r="X143" s="126"/>
      <c r="Y143" s="17"/>
      <c r="Z143" s="132" t="s">
        <v>221</v>
      </c>
      <c r="AA143" s="133" t="s">
        <v>222</v>
      </c>
      <c r="AB143" s="17"/>
      <c r="AD143" s="51"/>
      <c r="AF143" s="18"/>
      <c r="AG143" s="28"/>
      <c r="AH143" s="18"/>
      <c r="AI143" s="303"/>
      <c r="AJ143" s="37" t="s">
        <v>0</v>
      </c>
      <c r="AK143" s="37" t="s">
        <v>1</v>
      </c>
      <c r="AL143" s="37" t="s">
        <v>2</v>
      </c>
      <c r="AO143" s="7"/>
    </row>
    <row r="144" spans="3:41" s="5" customFormat="1" ht="15" customHeight="1" x14ac:dyDescent="0.25">
      <c r="C144" s="28"/>
      <c r="D144" s="28"/>
      <c r="E144" s="28"/>
      <c r="F144" s="28"/>
      <c r="G144" s="28"/>
      <c r="H144" s="28"/>
      <c r="I144" s="28"/>
      <c r="J144" s="25" t="s">
        <v>38</v>
      </c>
      <c r="K144" s="53" t="str">
        <f>IF(NOT(K148="keine Korrektur"),"Bitte begründen:","")</f>
        <v/>
      </c>
      <c r="L144" s="20"/>
      <c r="M144" s="20"/>
      <c r="N144" s="25" t="s">
        <v>38</v>
      </c>
      <c r="O144" s="53" t="str">
        <f>IF(NOT(O148="keine Korrektur"),"Bitte begründen:","")</f>
        <v/>
      </c>
      <c r="P144" s="20"/>
      <c r="Q144" s="20"/>
      <c r="R144" s="25" t="s">
        <v>38</v>
      </c>
      <c r="S144" s="53" t="str">
        <f>IF(NOT(S148="keine Korrektur"),"Bitte begründen:","")</f>
        <v/>
      </c>
      <c r="T144" s="20"/>
      <c r="U144" s="20"/>
      <c r="V144" s="25" t="s">
        <v>38</v>
      </c>
      <c r="W144" s="53" t="str">
        <f>IF(NOT(W148="keine Korrektur"),"Bitte begründen:","")</f>
        <v/>
      </c>
      <c r="X144" s="20"/>
      <c r="Y144" s="20"/>
      <c r="Z144" s="25" t="s">
        <v>38</v>
      </c>
      <c r="AA144" s="53" t="str">
        <f>IF(NOT(AA148="keine Korrektur"),"Bitte begründen:","")</f>
        <v/>
      </c>
      <c r="AB144" s="17"/>
      <c r="AD144" s="51"/>
      <c r="AF144" s="20"/>
      <c r="AG144" s="299" t="s">
        <v>251</v>
      </c>
      <c r="AH144" s="300"/>
      <c r="AI144" s="37">
        <v>0.1</v>
      </c>
      <c r="AJ144" s="37">
        <v>0.05</v>
      </c>
      <c r="AK144" s="37">
        <v>0.05</v>
      </c>
      <c r="AL144" s="37">
        <v>0.08</v>
      </c>
      <c r="AM144" s="6"/>
      <c r="AN144" s="6"/>
      <c r="AO144" s="9"/>
    </row>
    <row r="145" spans="3:41" s="5" customFormat="1" ht="15" customHeight="1" x14ac:dyDescent="0.25">
      <c r="C145" s="28"/>
      <c r="D145" s="30"/>
      <c r="E145" s="265" t="str">
        <f>IF($G$95=0,"Bitte auf Blatt (1) Referenzlänge und ggf. rel. Dicke eintragen","&gt; Bemessungswert")</f>
        <v>&gt; Bemessungswert</v>
      </c>
      <c r="F145" s="265"/>
      <c r="G145" s="28"/>
      <c r="H145" s="28"/>
      <c r="I145" s="128" t="str">
        <f>IF(OR(J$150="Bauweise wählen",J$151="Bauweise / Betriebsbedingungen wählen"),"FEHLER",IF($G$95=0,"","&gt; "&amp;ROUND(3*$G$95/J$150/J$151,2)&amp;" m"))</f>
        <v>&gt; 0.38 m</v>
      </c>
      <c r="J145" s="223">
        <v>0.32</v>
      </c>
      <c r="K145" s="315"/>
      <c r="L145" s="20"/>
      <c r="M145" s="128" t="str">
        <f>IF(OR(N$150="Bauweise wählen",N$151="Bauweise / Betriebsbedingungen wählen"),"FEHLER",IF($G$95=0,"","&gt; "&amp;ROUND(3*$G$95/N$150/N$151,2)&amp;" m"))</f>
        <v>&gt; 0.32 m</v>
      </c>
      <c r="N145" s="223">
        <v>0.3</v>
      </c>
      <c r="O145" s="315"/>
      <c r="P145" s="20"/>
      <c r="Q145" s="128" t="str">
        <f>IF(OR(R$150="Bauweise wählen",R$151="Bauweise / Betriebsbedingungen wählen"),"FEHLER",IF($G$95=0,"","&gt; "&amp;ROUND(3*$G$95/R$150/R$151,2)&amp;" m"))</f>
        <v>&gt; 0.38 m</v>
      </c>
      <c r="R145" s="223">
        <v>0.4</v>
      </c>
      <c r="S145" s="315"/>
      <c r="T145" s="20"/>
      <c r="U145" s="128" t="str">
        <f>IF(OR(V$150="Bauweise wählen",V$151="Bauweise / Betriebsbedingungen wählen"),"FEHLER",IF($G$95=0,"","&gt; "&amp;ROUND(3*$G$95/V$150/V$151,2)&amp;" m"))</f>
        <v>FEHLER</v>
      </c>
      <c r="V145" s="223"/>
      <c r="W145" s="315"/>
      <c r="X145" s="20"/>
      <c r="Y145" s="128" t="str">
        <f>IF(OR(Z$150="Bauweise wählen",Z$151="Bauweise / Betriebsbedingungen wählen"),"FEHLER",IF($G$95=0,"","&gt; "&amp;ROUND(3*$G$95/Z$150/Z$151,2)&amp;" m"))</f>
        <v>FEHLER</v>
      </c>
      <c r="Z145" s="223"/>
      <c r="AA145" s="315"/>
      <c r="AB145" s="18"/>
      <c r="AD145" s="51"/>
      <c r="AF145" s="48"/>
      <c r="AG145" s="305" t="s">
        <v>10</v>
      </c>
      <c r="AH145" s="306"/>
      <c r="AI145" s="25" t="s">
        <v>82</v>
      </c>
      <c r="AJ145" s="25" t="s">
        <v>85</v>
      </c>
      <c r="AK145" s="25" t="s">
        <v>85</v>
      </c>
      <c r="AL145" s="25" t="s">
        <v>333</v>
      </c>
      <c r="AM145" s="6"/>
      <c r="AN145" s="6"/>
      <c r="AO145" s="6"/>
    </row>
    <row r="146" spans="3:41" s="5" customFormat="1" ht="15" customHeight="1" x14ac:dyDescent="0.25">
      <c r="C146" s="71">
        <v>0.8</v>
      </c>
      <c r="D146" s="35"/>
      <c r="E146" s="265" t="str">
        <f>IF($G$95=0,"","Grenzwert bis Bemessungswert")</f>
        <v>Grenzwert bis Bemessungswert</v>
      </c>
      <c r="F146" s="265"/>
      <c r="G146" s="28"/>
      <c r="H146" s="28"/>
      <c r="I146" s="128" t="str">
        <f>IF(OR(J$150="Bauweise wählen",J$151="Bauweise / Betriebsbedingungen wählen"),"",IF($G$95=0,"",ROUND(3*$G$95,2)&amp;" bis "&amp;ROUND(3*$G$95/J$150/J$151,2)&amp;" m"))</f>
        <v>0.3 bis 0.38 m</v>
      </c>
      <c r="J146" s="223"/>
      <c r="K146" s="315"/>
      <c r="L146" s="20"/>
      <c r="M146" s="128" t="str">
        <f>IF(OR(N$150="Bauweise wählen",N$151="Bauweise / Betriebsbedingungen wählen"),"",IF($G$95=0,"",ROUND(3*$G$95,2)&amp;" bis "&amp;ROUND(3*$G$95/N$150/N$151,2)&amp;" m"))</f>
        <v>0.3 bis 0.32 m</v>
      </c>
      <c r="N146" s="223"/>
      <c r="O146" s="315"/>
      <c r="P146" s="20"/>
      <c r="Q146" s="128" t="str">
        <f>IF(OR(R$150="Bauweise wählen",R$151="Bauweise / Betriebsbedingungen wählen"),"",IF($G$95=0,"",ROUND(3*$G$95,2)&amp;" bis "&amp;ROUND(3*$G$95/R$150/R$151,2)&amp;" m"))</f>
        <v>0.3 bis 0.38 m</v>
      </c>
      <c r="R146" s="223"/>
      <c r="S146" s="315"/>
      <c r="T146" s="20"/>
      <c r="U146" s="128" t="str">
        <f>IF(OR(V$150="Bauweise wählen",V$151="Bauweise / Betriebsbedingungen wählen"),"",IF($G$95=0,"",ROUND(3*$G$95,2)&amp;" bis "&amp;ROUND(3*$G$95/V$150/V$151,2)&amp;" m"))</f>
        <v/>
      </c>
      <c r="V146" s="223"/>
      <c r="W146" s="315"/>
      <c r="X146" s="20"/>
      <c r="Y146" s="128" t="str">
        <f>IF(OR(Z$150="Bauweise wählen",Z$151="Bauweise / Betriebsbedingungen wählen"),"",IF($G$95=0,"",ROUND(3*$G$95,2)&amp;" bis "&amp;ROUND(3*$G$95/Z$150/Z$151,2)&amp;" m"))</f>
        <v/>
      </c>
      <c r="Z146" s="223"/>
      <c r="AA146" s="315"/>
      <c r="AB146" s="18"/>
      <c r="AD146" s="51"/>
      <c r="AF146" s="49"/>
      <c r="AG146" s="305" t="s">
        <v>42</v>
      </c>
      <c r="AH146" s="306"/>
      <c r="AI146" s="25" t="s">
        <v>331</v>
      </c>
      <c r="AJ146" s="25" t="s">
        <v>84</v>
      </c>
      <c r="AK146" s="25" t="s">
        <v>84</v>
      </c>
      <c r="AL146" s="25" t="s">
        <v>334</v>
      </c>
    </row>
    <row r="147" spans="3:41" s="5" customFormat="1" ht="15" customHeight="1" x14ac:dyDescent="0.25">
      <c r="C147" s="28"/>
      <c r="D147" s="32"/>
      <c r="E147" s="265" t="str">
        <f>IF($G$95=0,"","&lt; Grenzwert")</f>
        <v>&lt; Grenzwert</v>
      </c>
      <c r="F147" s="265"/>
      <c r="G147" s="28"/>
      <c r="H147" s="28"/>
      <c r="I147" s="128" t="str">
        <f>IF(OR(J$150="Bauweise wählen",J$151="Bauweise / Betriebsbedingungen wählen"),"",IF($G$95=0,"","&lt; "&amp;ROUND(3*$G$95,2)&amp;" m"))</f>
        <v>&lt; 0.3 m</v>
      </c>
      <c r="J147" s="223"/>
      <c r="K147" s="315"/>
      <c r="L147" s="20"/>
      <c r="M147" s="128" t="str">
        <f>IF(OR(N$150="Bauweise wählen",N$151="Bauweise / Betriebsbedingungen wählen"),"",IF($G$95=0,"","&lt; "&amp;ROUND(3*$G$95,2)&amp;" m"))</f>
        <v>&lt; 0.3 m</v>
      </c>
      <c r="N147" s="223"/>
      <c r="O147" s="315"/>
      <c r="P147" s="20"/>
      <c r="Q147" s="128" t="str">
        <f>IF(OR(R$150="Bauweise wählen",R$151="Bauweise / Betriebsbedingungen wählen"),"",IF($G$95=0,"","&lt; "&amp;ROUND(3*$G$95,2)&amp;" m"))</f>
        <v>&lt; 0.3 m</v>
      </c>
      <c r="R147" s="223"/>
      <c r="S147" s="315"/>
      <c r="T147" s="20"/>
      <c r="U147" s="128" t="str">
        <f>IF(OR(V$150="Bauweise wählen",V$151="Bauweise / Betriebsbedingungen wählen"),"",IF($G$95=0,"","&lt; "&amp;ROUND(3*$G$95,2)&amp;" m"))</f>
        <v/>
      </c>
      <c r="V147" s="223"/>
      <c r="W147" s="315"/>
      <c r="X147" s="20"/>
      <c r="Y147" s="128" t="str">
        <f>IF(OR(Z$150="Bauweise wählen",Z$151="Bauweise / Betriebsbedingungen wählen"),"",IF($G$95=0,"","&lt; "&amp;ROUND(3*$G$95,2)&amp;" m"))</f>
        <v/>
      </c>
      <c r="Z147" s="223"/>
      <c r="AA147" s="315"/>
      <c r="AB147" s="18"/>
      <c r="AD147" s="51"/>
      <c r="AF147" s="50"/>
      <c r="AG147" s="305" t="s">
        <v>43</v>
      </c>
      <c r="AH147" s="306"/>
      <c r="AI147" s="25" t="s">
        <v>332</v>
      </c>
      <c r="AJ147" s="25" t="s">
        <v>83</v>
      </c>
      <c r="AK147" s="25" t="s">
        <v>83</v>
      </c>
      <c r="AL147" s="25" t="s">
        <v>86</v>
      </c>
    </row>
    <row r="148" spans="3:41" s="5" customFormat="1" ht="15" customHeight="1" x14ac:dyDescent="0.25">
      <c r="C148" s="28"/>
      <c r="D148" s="28"/>
      <c r="E148" s="28"/>
      <c r="F148" s="28"/>
      <c r="G148" s="28"/>
      <c r="H148" s="28"/>
      <c r="I148" s="28"/>
      <c r="J148" s="25" t="str">
        <f>IF($E$95=0,"FEHLER",IF(OR(ISBLANK(J145),NOT(ISNUMBER(J145))),"WERT?",IF(I145="FEHLER","FEHLER",IF(J145&gt;=ROUND(3*$G$95/J$150/J$151,2),"gut",IF(AND(J145&gt;=ROUND(3*$G$95,2),J145&lt;ROUND(3*$G$95/J$150/J$151,2)),"mässig","schlecht")))))</f>
        <v>mässig</v>
      </c>
      <c r="K148" s="99" t="s">
        <v>45</v>
      </c>
      <c r="L148" s="20"/>
      <c r="M148" s="18"/>
      <c r="N148" s="25" t="str">
        <f>IF($E$95=0,"FEHLER",IF(OR(ISBLANK(N145),NOT(ISNUMBER(N145))),"WERT?",IF(M145="FEHLER","FEHLER",IF(N145&gt;=ROUND(3*$G$95/N$150/N$151,2),"gut",IF(AND(N145&gt;=ROUND(3*$G$95,2),N145&lt;ROUND(3*$G$95/N$150/N$151,2)),"mässig","schlecht")))))</f>
        <v>mässig</v>
      </c>
      <c r="O148" s="99" t="s">
        <v>45</v>
      </c>
      <c r="P148" s="20"/>
      <c r="Q148" s="18"/>
      <c r="R148" s="25" t="str">
        <f>IF($E$95=0,"FEHLER",IF(OR(ISBLANK(R145),NOT(ISNUMBER(R145))),"WERT?",IF(Q145="FEHLER","FEHLER",IF(R145&gt;=ROUND(3*$G$95/R$150/R$151,2),"gut",IF(AND(R145&gt;=ROUND(3*$G$95,2),R145&lt;ROUND(3*$G$95/R$150/R$151,2)),"mässig","schlecht")))))</f>
        <v>gut</v>
      </c>
      <c r="S148" s="99" t="s">
        <v>45</v>
      </c>
      <c r="T148" s="20"/>
      <c r="U148" s="18"/>
      <c r="V148" s="25" t="str">
        <f>IF($E$95=0,"FEHLER",IF(OR(ISBLANK(V145),NOT(ISNUMBER(V145))),"WERT?",IF(U145="FEHLER","FEHLER",IF(V145&gt;=ROUND(3*$G$95/V$150/V$151,2),"gut",IF(AND(V145&gt;=ROUND(3*$G$95,2),V145&lt;ROUND(3*$G$95/V$150/V$151,2)),"mässig","schlecht")))))</f>
        <v>WERT?</v>
      </c>
      <c r="W148" s="99" t="s">
        <v>45</v>
      </c>
      <c r="X148" s="20"/>
      <c r="Y148" s="18"/>
      <c r="Z148" s="25" t="str">
        <f>IF($E$95=0,"FEHLER",IF(OR(ISBLANK(Z145),NOT(ISNUMBER(Z145))),"WERT?",IF(Y145="FEHLER","FEHLER",IF(Z145&gt;=ROUND(3*$G$95/Z$150/Z$151,2),"gut",IF(AND(Z145&gt;=ROUND(3*$G$95,2),Z145&lt;ROUND(3*$G$95/Z$150/Z$151,2)),"mässig","schlecht")))))</f>
        <v>WERT?</v>
      </c>
      <c r="AA148" s="99" t="s">
        <v>45</v>
      </c>
      <c r="AB148" s="18"/>
      <c r="AD148" s="51"/>
      <c r="AF148" s="28"/>
      <c r="AG148" s="28"/>
      <c r="AH148" s="28"/>
      <c r="AI148" s="28"/>
      <c r="AJ148" s="28"/>
      <c r="AK148" s="28"/>
      <c r="AL148" s="28"/>
    </row>
    <row r="149" spans="3:41" s="5" customFormat="1" ht="15" customHeight="1" x14ac:dyDescent="0.25">
      <c r="C149" s="28"/>
      <c r="D149" s="28"/>
      <c r="E149" s="28"/>
      <c r="F149" s="28"/>
      <c r="G149" s="28"/>
      <c r="H149" s="28"/>
      <c r="I149" s="28"/>
      <c r="J149" s="18"/>
      <c r="K149" s="18"/>
      <c r="L149" s="18"/>
      <c r="M149" s="18"/>
      <c r="N149" s="18"/>
      <c r="O149" s="18"/>
      <c r="P149" s="18"/>
      <c r="Q149" s="18"/>
      <c r="R149" s="18"/>
      <c r="S149" s="18"/>
      <c r="T149" s="18"/>
      <c r="U149" s="18"/>
      <c r="V149" s="18"/>
      <c r="W149" s="18"/>
      <c r="X149" s="18"/>
      <c r="Y149" s="18"/>
      <c r="Z149" s="18"/>
      <c r="AA149" s="18"/>
      <c r="AB149" s="18"/>
      <c r="AD149" s="51"/>
      <c r="AF149" s="28"/>
      <c r="AG149" s="28"/>
      <c r="AH149" s="28"/>
      <c r="AI149" s="28"/>
      <c r="AJ149" s="28"/>
      <c r="AK149" s="28"/>
      <c r="AL149" s="28"/>
    </row>
    <row r="150" spans="3:41" s="5" customFormat="1" ht="15" customHeight="1" x14ac:dyDescent="0.25">
      <c r="J150" s="139">
        <f>'(3) Variantenbewertung'!I$27</f>
        <v>0.8</v>
      </c>
      <c r="K150" s="1"/>
      <c r="L150" s="16"/>
      <c r="M150" s="16"/>
      <c r="N150" s="139">
        <f>'(3) Variantenbewertung'!L$27</f>
        <v>1</v>
      </c>
      <c r="O150" s="1"/>
      <c r="P150" s="16"/>
      <c r="Q150" s="16"/>
      <c r="R150" s="139">
        <f>'(3) Variantenbewertung'!O$27</f>
        <v>0.8</v>
      </c>
      <c r="S150" s="1"/>
      <c r="T150" s="16"/>
      <c r="U150" s="16"/>
      <c r="V150" s="139" t="str">
        <f>'(3) Variantenbewertung'!R$27</f>
        <v>Bauweise wählen</v>
      </c>
      <c r="W150" s="1"/>
      <c r="X150" s="16"/>
      <c r="Y150" s="16"/>
      <c r="Z150" s="139" t="str">
        <f>'(3) Variantenbewertung'!U$27</f>
        <v>Bauweise wählen</v>
      </c>
      <c r="AA150" s="1"/>
      <c r="AB150" s="1"/>
      <c r="AD150" s="51"/>
      <c r="AI150" s="6"/>
    </row>
    <row r="151" spans="3:41" s="5" customFormat="1" ht="15" customHeight="1" x14ac:dyDescent="0.25">
      <c r="J151" s="139">
        <f>'(3) Variantenbewertung'!I$35</f>
        <v>1</v>
      </c>
      <c r="K151" s="1"/>
      <c r="L151" s="1"/>
      <c r="M151" s="1"/>
      <c r="N151" s="139">
        <f>'(3) Variantenbewertung'!L$35</f>
        <v>0.95</v>
      </c>
      <c r="O151" s="1"/>
      <c r="P151" s="1"/>
      <c r="Q151" s="1"/>
      <c r="R151" s="139">
        <f>'(3) Variantenbewertung'!O$35</f>
        <v>1</v>
      </c>
      <c r="S151" s="1"/>
      <c r="T151" s="1"/>
      <c r="U151" s="1"/>
      <c r="V151" s="139" t="str">
        <f>'(3) Variantenbewertung'!R$35</f>
        <v/>
      </c>
      <c r="W151" s="1"/>
      <c r="X151" s="1"/>
      <c r="Y151" s="1"/>
      <c r="Z151" s="139" t="str">
        <f>'(3) Variantenbewertung'!U$35</f>
        <v/>
      </c>
      <c r="AA151" s="1"/>
      <c r="AB151" s="1"/>
      <c r="AD151" s="51"/>
      <c r="AI151" s="6"/>
    </row>
    <row r="152" spans="3:41" s="5" customFormat="1" ht="15" customHeight="1" x14ac:dyDescent="0.25">
      <c r="C152" s="266" t="s">
        <v>434</v>
      </c>
      <c r="D152" s="266"/>
      <c r="E152" s="266"/>
      <c r="F152" s="266"/>
      <c r="G152" s="28"/>
      <c r="H152" s="28"/>
      <c r="I152" s="28"/>
      <c r="J152" s="18"/>
      <c r="K152" s="18"/>
      <c r="L152" s="18"/>
      <c r="M152" s="18"/>
      <c r="N152" s="18"/>
      <c r="O152" s="18"/>
      <c r="P152" s="18"/>
      <c r="Q152" s="18"/>
      <c r="R152" s="18"/>
      <c r="S152" s="18"/>
      <c r="T152" s="18"/>
      <c r="U152" s="18"/>
      <c r="V152" s="18"/>
      <c r="W152" s="18"/>
      <c r="X152" s="18"/>
      <c r="Y152" s="18"/>
      <c r="Z152" s="18"/>
      <c r="AA152" s="18"/>
      <c r="AB152" s="18"/>
      <c r="AD152" s="51"/>
      <c r="AF152" s="28"/>
      <c r="AG152" s="28"/>
      <c r="AH152" s="28"/>
      <c r="AI152" s="27"/>
      <c r="AJ152" s="28"/>
      <c r="AK152" s="28"/>
      <c r="AL152" s="28"/>
      <c r="AO152" s="7"/>
    </row>
    <row r="153" spans="3:41" s="5" customFormat="1" ht="15" customHeight="1" x14ac:dyDescent="0.25">
      <c r="C153" s="28"/>
      <c r="D153" s="263" t="s">
        <v>435</v>
      </c>
      <c r="E153" s="263"/>
      <c r="F153" s="263"/>
      <c r="G153" s="263"/>
      <c r="H153" s="180"/>
      <c r="I153" s="70"/>
      <c r="J153" s="316" t="str">
        <f>IF(ISBLANK('(3) Variantenbewertung'!$I$11),"",'(3) Variantenbewertung'!$I$11)</f>
        <v>V1</v>
      </c>
      <c r="K153" s="316"/>
      <c r="L153" s="18"/>
      <c r="M153" s="18"/>
      <c r="N153" s="316" t="str">
        <f>IF(ISBLANK('(3) Variantenbewertung'!$L$11),"",'(3) Variantenbewertung'!$L$11)</f>
        <v>V2</v>
      </c>
      <c r="O153" s="316"/>
      <c r="P153" s="18"/>
      <c r="Q153" s="18"/>
      <c r="R153" s="316" t="str">
        <f>IF(ISBLANK('(3) Variantenbewertung'!$O$11),"",'(3) Variantenbewertung'!$O$11)</f>
        <v>V3</v>
      </c>
      <c r="S153" s="316"/>
      <c r="T153" s="55"/>
      <c r="U153" s="18"/>
      <c r="V153" s="316" t="str">
        <f>IF(ISBLANK('(3) Variantenbewertung'!$R$11),"",'(3) Variantenbewertung'!$R$11)</f>
        <v/>
      </c>
      <c r="W153" s="316"/>
      <c r="X153" s="18"/>
      <c r="Y153" s="18"/>
      <c r="Z153" s="316" t="str">
        <f>IF(ISBLANK('(3) Variantenbewertung'!$U$11),"",'(3) Variantenbewertung'!$U$11)</f>
        <v/>
      </c>
      <c r="AA153" s="316"/>
      <c r="AB153" s="18"/>
      <c r="AD153" s="51"/>
      <c r="AF153" s="18"/>
      <c r="AG153" s="28"/>
      <c r="AH153" s="18"/>
      <c r="AI153" s="302" t="s">
        <v>11</v>
      </c>
      <c r="AJ153" s="292" t="s">
        <v>12</v>
      </c>
      <c r="AK153" s="301"/>
      <c r="AL153" s="293"/>
      <c r="AO153" s="7"/>
    </row>
    <row r="154" spans="3:41" s="5" customFormat="1" ht="15" customHeight="1" x14ac:dyDescent="0.25">
      <c r="C154" s="28"/>
      <c r="D154" s="263"/>
      <c r="E154" s="263"/>
      <c r="F154" s="263"/>
      <c r="G154" s="263"/>
      <c r="H154" s="180"/>
      <c r="I154" s="28"/>
      <c r="J154" s="132" t="s">
        <v>221</v>
      </c>
      <c r="K154" s="133" t="s">
        <v>222</v>
      </c>
      <c r="L154" s="126"/>
      <c r="M154" s="17"/>
      <c r="N154" s="132" t="s">
        <v>221</v>
      </c>
      <c r="O154" s="133" t="s">
        <v>222</v>
      </c>
      <c r="P154" s="126"/>
      <c r="Q154" s="17"/>
      <c r="R154" s="132" t="s">
        <v>221</v>
      </c>
      <c r="S154" s="133" t="s">
        <v>222</v>
      </c>
      <c r="T154" s="126"/>
      <c r="U154" s="17"/>
      <c r="V154" s="132" t="s">
        <v>221</v>
      </c>
      <c r="W154" s="133" t="s">
        <v>222</v>
      </c>
      <c r="X154" s="126"/>
      <c r="Y154" s="17"/>
      <c r="Z154" s="132" t="s">
        <v>221</v>
      </c>
      <c r="AA154" s="133" t="s">
        <v>222</v>
      </c>
      <c r="AB154" s="17"/>
      <c r="AD154" s="51"/>
      <c r="AF154" s="18"/>
      <c r="AG154" s="28"/>
      <c r="AH154" s="18"/>
      <c r="AI154" s="303"/>
      <c r="AJ154" s="37" t="s">
        <v>0</v>
      </c>
      <c r="AK154" s="37" t="s">
        <v>1</v>
      </c>
      <c r="AL154" s="37" t="s">
        <v>2</v>
      </c>
      <c r="AO154" s="7"/>
    </row>
    <row r="155" spans="3:41" s="5" customFormat="1" ht="15" customHeight="1" x14ac:dyDescent="0.25">
      <c r="C155" s="28"/>
      <c r="D155" s="28"/>
      <c r="E155" s="28"/>
      <c r="F155" s="28"/>
      <c r="G155" s="28"/>
      <c r="H155" s="28"/>
      <c r="I155" s="28"/>
      <c r="J155" s="25" t="s">
        <v>37</v>
      </c>
      <c r="K155" s="53" t="str">
        <f>IF(NOT(K162="keine Korrektur"),"Bitte begründen:","")</f>
        <v/>
      </c>
      <c r="L155" s="20"/>
      <c r="M155" s="20"/>
      <c r="N155" s="25" t="s">
        <v>37</v>
      </c>
      <c r="O155" s="53" t="str">
        <f>IF(NOT(O162="keine Korrektur"),"Bitte begründen:","")</f>
        <v/>
      </c>
      <c r="P155" s="20"/>
      <c r="Q155" s="20"/>
      <c r="R155" s="25" t="s">
        <v>37</v>
      </c>
      <c r="S155" s="53" t="str">
        <f>IF(NOT(S162="keine Korrektur"),"Bitte begründen:","")</f>
        <v/>
      </c>
      <c r="T155" s="20"/>
      <c r="U155" s="20"/>
      <c r="V155" s="25" t="s">
        <v>37</v>
      </c>
      <c r="W155" s="53" t="str">
        <f>IF(NOT(W162="keine Korrektur"),"Bitte begründen:","")</f>
        <v/>
      </c>
      <c r="X155" s="20"/>
      <c r="Y155" s="20"/>
      <c r="Z155" s="25" t="s">
        <v>37</v>
      </c>
      <c r="AA155" s="53" t="str">
        <f>IF(NOT(AA162="keine Korrektur"),"Bitte begründen:","")</f>
        <v/>
      </c>
      <c r="AB155" s="17"/>
      <c r="AD155" s="51"/>
      <c r="AF155" s="20"/>
      <c r="AG155" s="299" t="s">
        <v>251</v>
      </c>
      <c r="AH155" s="300"/>
      <c r="AI155" s="37">
        <v>0.1</v>
      </c>
      <c r="AJ155" s="37">
        <v>0.05</v>
      </c>
      <c r="AK155" s="37">
        <v>0.05</v>
      </c>
      <c r="AL155" s="37">
        <v>0.08</v>
      </c>
      <c r="AM155" s="6"/>
      <c r="AN155" s="6"/>
      <c r="AO155" s="6"/>
    </row>
    <row r="156" spans="3:41" s="5" customFormat="1" ht="15" customHeight="1" x14ac:dyDescent="0.25">
      <c r="C156" s="28"/>
      <c r="D156" s="30"/>
      <c r="E156" s="314" t="s">
        <v>439</v>
      </c>
      <c r="F156" s="56" t="s">
        <v>436</v>
      </c>
      <c r="G156" s="28"/>
      <c r="H156" s="28"/>
      <c r="I156" s="128" t="str">
        <f>IF(OR(J$164="Bauweise wählen",J$165="Bauweise / Betriebsbedingungen wählen"),"FEHLER",IF($G$95=0,"","&gt; "&amp;ROUND(6*$G$95/J$164/J$165,2)&amp;" m"))</f>
        <v>&gt; 0.75 m</v>
      </c>
      <c r="J156" s="223">
        <v>1</v>
      </c>
      <c r="K156" s="318"/>
      <c r="L156" s="20"/>
      <c r="M156" s="128" t="str">
        <f>IF(OR(N$164="Bauweise wählen",N$165="Bauweise / Betriebsbedingungen wählen"),"FEHLER",IF($G$95=0,"","&gt; "&amp;ROUND(6*$G$95/N$164/N$165,2)&amp;" m"))</f>
        <v>&gt; 0.63 m</v>
      </c>
      <c r="N156" s="223">
        <v>0.93</v>
      </c>
      <c r="O156" s="318"/>
      <c r="P156" s="20"/>
      <c r="Q156" s="128" t="str">
        <f>IF(OR(R$164="Bauweise wählen",R$165="Bauweise / Betriebsbedingungen wählen"),"FEHLER",IF($G$95=0,"","&gt; "&amp;ROUND(6*$G$95/R$164/R$165,2)&amp;" m"))</f>
        <v>&gt; 0.75 m</v>
      </c>
      <c r="R156" s="223">
        <v>4</v>
      </c>
      <c r="S156" s="318"/>
      <c r="T156" s="20"/>
      <c r="U156" s="128" t="str">
        <f>IF(OR(V$164="Bauweise wählen",V$165="Bauweise / Betriebsbedingungen wählen"),"FEHLER",IF($G$95=0,"","&gt; "&amp;ROUND(6*$G$95/V$164/V$165,2)&amp;" m"))</f>
        <v>FEHLER</v>
      </c>
      <c r="V156" s="223"/>
      <c r="W156" s="318"/>
      <c r="X156" s="20"/>
      <c r="Y156" s="128" t="str">
        <f>IF(OR(Z$164="Bauweise wählen",Z$165="Bauweise / Betriebsbedingungen wählen"),"FEHLER",IF($G$95=0,"","&gt; "&amp;ROUND(6*$G$95/Z$164/Z$165,2)&amp;" m"))</f>
        <v>FEHLER</v>
      </c>
      <c r="Z156" s="223"/>
      <c r="AA156" s="318"/>
      <c r="AB156" s="18"/>
      <c r="AD156" s="51"/>
      <c r="AF156" s="48"/>
      <c r="AG156" s="123" t="s">
        <v>10</v>
      </c>
      <c r="AH156" s="302" t="s">
        <v>439</v>
      </c>
      <c r="AI156" s="25" t="s">
        <v>442</v>
      </c>
      <c r="AJ156" s="25" t="s">
        <v>82</v>
      </c>
      <c r="AK156" s="25" t="s">
        <v>82</v>
      </c>
      <c r="AL156" s="25" t="s">
        <v>443</v>
      </c>
      <c r="AM156" s="9"/>
      <c r="AN156" s="9"/>
      <c r="AO156" s="9"/>
    </row>
    <row r="157" spans="3:41" s="5" customFormat="1" ht="15" customHeight="1" x14ac:dyDescent="0.25">
      <c r="C157" s="28"/>
      <c r="D157" s="31"/>
      <c r="E157" s="259"/>
      <c r="F157" s="56" t="s">
        <v>437</v>
      </c>
      <c r="G157" s="28"/>
      <c r="H157" s="28"/>
      <c r="I157" s="128" t="str">
        <f>IF(OR(J$164="Bauweise wählen",J$165="Bauweise / Betriebsbedingungen wählen"),"",IF($G$95=0,"",ROUND(6*$G$95,2)&amp;" bis "&amp;ROUND(6*$G$95/J$164/J$165,2)&amp;" m"))</f>
        <v>0.6 bis 0.75 m</v>
      </c>
      <c r="J157" s="223"/>
      <c r="K157" s="319"/>
      <c r="L157" s="20"/>
      <c r="M157" s="128" t="str">
        <f>IF(OR(N$164="Bauweise wählen",N$165="Bauweise / Betriebsbedingungen wählen"),"",IF($G$95=0,"",ROUND(6*$G$95,2)&amp;" bis "&amp;ROUND(6*$G$95/N$164/N$165,2)&amp;" m"))</f>
        <v>0.6 bis 0.63 m</v>
      </c>
      <c r="N157" s="223"/>
      <c r="O157" s="319"/>
      <c r="P157" s="20"/>
      <c r="Q157" s="128" t="str">
        <f>IF(OR(R$164="Bauweise wählen",R$165="Bauweise / Betriebsbedingungen wählen"),"",IF($G$95=0,"",ROUND(6*$G$95,2)&amp;" bis "&amp;ROUND(6*$G$95/R$164/R$165,2)&amp;" m"))</f>
        <v>0.6 bis 0.75 m</v>
      </c>
      <c r="R157" s="223"/>
      <c r="S157" s="319"/>
      <c r="T157" s="20"/>
      <c r="U157" s="128" t="str">
        <f>IF(OR(V$164="Bauweise wählen",V$165="Bauweise / Betriebsbedingungen wählen"),"",IF($G$95=0,"",ROUND(6*$G$95,2)&amp;" bis "&amp;ROUND(6*$G$95/V$164/V$165,2)&amp;" m"))</f>
        <v/>
      </c>
      <c r="V157" s="223"/>
      <c r="W157" s="319"/>
      <c r="X157" s="20"/>
      <c r="Y157" s="128" t="str">
        <f>IF(OR(Z$164="Bauweise wählen",Z$165="Bauweise / Betriebsbedingungen wählen"),"",IF($G$95=0,"",ROUND(6*$G$95,2)&amp;" bis "&amp;ROUND(6*$G$95/Z$164/Z$165,2)&amp;" m"))</f>
        <v/>
      </c>
      <c r="Z157" s="223"/>
      <c r="AA157" s="319"/>
      <c r="AB157" s="18"/>
      <c r="AD157" s="51"/>
      <c r="AF157" s="49"/>
      <c r="AG157" s="123" t="s">
        <v>42</v>
      </c>
      <c r="AH157" s="312"/>
      <c r="AI157" s="25" t="s">
        <v>444</v>
      </c>
      <c r="AJ157" s="25" t="s">
        <v>331</v>
      </c>
      <c r="AK157" s="25" t="s">
        <v>331</v>
      </c>
      <c r="AL157" s="25" t="s">
        <v>445</v>
      </c>
      <c r="AO157" s="7"/>
    </row>
    <row r="158" spans="3:41" s="5" customFormat="1" ht="15" customHeight="1" x14ac:dyDescent="0.25">
      <c r="C158" s="28"/>
      <c r="D158" s="32"/>
      <c r="E158" s="259"/>
      <c r="F158" s="56" t="s">
        <v>438</v>
      </c>
      <c r="G158" s="28"/>
      <c r="H158" s="28"/>
      <c r="I158" s="128" t="str">
        <f>IF(OR(J$164="Bauweise wählen",J$165="Bauweise / Betriebsbedingungen wählen"),"",IF($G$95=0,"","&lt; "&amp;ROUND(6*$G$95,2)&amp;" m"))</f>
        <v>&lt; 0.6 m</v>
      </c>
      <c r="J158" s="223"/>
      <c r="K158" s="319"/>
      <c r="L158" s="20"/>
      <c r="M158" s="128" t="str">
        <f>IF(OR(N$164="Bauweise wählen",N$165="Bauweise / Betriebsbedingungen wählen"),"",IF($G$95=0,"","&lt; "&amp;ROUND(6*$G$95,2)&amp;" m"))</f>
        <v>&lt; 0.6 m</v>
      </c>
      <c r="N158" s="223"/>
      <c r="O158" s="319"/>
      <c r="P158" s="20"/>
      <c r="Q158" s="128" t="str">
        <f>IF(OR(R$164="Bauweise wählen",R$165="Bauweise / Betriebsbedingungen wählen"),"",IF($G$95=0,"","&lt; "&amp;ROUND(6*$G$95,2)&amp;" m"))</f>
        <v>&lt; 0.6 m</v>
      </c>
      <c r="R158" s="223"/>
      <c r="S158" s="319"/>
      <c r="T158" s="20"/>
      <c r="U158" s="128" t="str">
        <f>IF(OR(V$164="Bauweise wählen",V$165="Bauweise / Betriebsbedingungen wählen"),"",IF($G$95=0,"","&lt; "&amp;ROUND(6*$G$95,2)&amp;" m"))</f>
        <v/>
      </c>
      <c r="V158" s="223"/>
      <c r="W158" s="319"/>
      <c r="X158" s="20"/>
      <c r="Y158" s="128" t="str">
        <f>IF(OR(Z$164="Bauweise wählen",Z$165="Bauweise / Betriebsbedingungen wählen"),"",IF($G$95=0,"","&lt; "&amp;ROUND(6*$G$95,2)&amp;" m"))</f>
        <v/>
      </c>
      <c r="Z158" s="223"/>
      <c r="AA158" s="319"/>
      <c r="AB158" s="18"/>
      <c r="AD158" s="51"/>
      <c r="AF158" s="50"/>
      <c r="AG158" s="123" t="s">
        <v>43</v>
      </c>
      <c r="AH158" s="303"/>
      <c r="AI158" s="25" t="s">
        <v>446</v>
      </c>
      <c r="AJ158" s="25" t="s">
        <v>332</v>
      </c>
      <c r="AK158" s="25" t="s">
        <v>332</v>
      </c>
      <c r="AL158" s="25" t="s">
        <v>447</v>
      </c>
      <c r="AO158" s="7"/>
    </row>
    <row r="159" spans="3:41" s="5" customFormat="1" ht="15" customHeight="1" x14ac:dyDescent="0.25">
      <c r="C159" s="28"/>
      <c r="D159" s="30"/>
      <c r="E159" s="314" t="s">
        <v>440</v>
      </c>
      <c r="F159" s="56" t="s">
        <v>436</v>
      </c>
      <c r="G159" s="28"/>
      <c r="H159" s="28"/>
      <c r="I159" s="128" t="str">
        <f>IF(OR(J$164="Bauweise wählen",J$165="Bauweise / Betriebsbedingungen wählen"),"",IF($G$95=0,"","&gt; "&amp;ROUND(9*$G$95/J$164/J$165,2)&amp;" m"))</f>
        <v>&gt; 1.13 m</v>
      </c>
      <c r="J159" s="261"/>
      <c r="K159" s="319"/>
      <c r="L159" s="20"/>
      <c r="M159" s="128" t="str">
        <f>IF(OR(N$164="Bauweise wählen",N$165="Bauweise / Betriebsbedingungen wählen"),"",IF($G$95=0,"","&gt; "&amp;ROUND(9*$G$95/N$164/N$165,2)&amp;" m"))</f>
        <v>&gt; 0.95 m</v>
      </c>
      <c r="N159" s="261"/>
      <c r="O159" s="319"/>
      <c r="P159" s="20"/>
      <c r="Q159" s="128" t="str">
        <f>IF(OR(R$164="Bauweise wählen",R$165="Bauweise / Betriebsbedingungen wählen"),"",IF($G$95=0,"","&gt; "&amp;ROUND(9*$G$95/R$164/R$165,2)&amp;" m"))</f>
        <v>&gt; 1.13 m</v>
      </c>
      <c r="R159" s="261"/>
      <c r="S159" s="319"/>
      <c r="T159" s="20"/>
      <c r="U159" s="128" t="str">
        <f>IF(OR(V$164="Bauweise wählen",V$165="Bauweise / Betriebsbedingungen wählen"),"",IF($G$95=0,"","&gt; "&amp;ROUND(9*$G$95/V$164/V$165,2)&amp;" m"))</f>
        <v/>
      </c>
      <c r="V159" s="261"/>
      <c r="W159" s="319"/>
      <c r="X159" s="20"/>
      <c r="Y159" s="128" t="str">
        <f>IF(OR(Z$164="Bauweise wählen",Z$165="Bauweise / Betriebsbedingungen wählen"),"",IF($G$95=0,"","&gt; "&amp;ROUND(9*$G$95/Z$164/Z$165,2)&amp;" m"))</f>
        <v/>
      </c>
      <c r="Z159" s="261"/>
      <c r="AA159" s="319"/>
      <c r="AB159" s="18"/>
      <c r="AD159" s="90"/>
      <c r="AF159" s="48"/>
      <c r="AG159" s="123" t="s">
        <v>10</v>
      </c>
      <c r="AH159" s="302" t="s">
        <v>440</v>
      </c>
      <c r="AI159" s="25" t="s">
        <v>448</v>
      </c>
      <c r="AJ159" s="25" t="s">
        <v>449</v>
      </c>
      <c r="AK159" s="25" t="s">
        <v>449</v>
      </c>
      <c r="AL159" s="25" t="s">
        <v>450</v>
      </c>
      <c r="AO159" s="7"/>
    </row>
    <row r="160" spans="3:41" s="5" customFormat="1" ht="15" customHeight="1" x14ac:dyDescent="0.25">
      <c r="C160" s="28"/>
      <c r="D160" s="31"/>
      <c r="E160" s="314"/>
      <c r="F160" s="56" t="s">
        <v>437</v>
      </c>
      <c r="G160" s="28"/>
      <c r="H160" s="28"/>
      <c r="I160" s="128" t="str">
        <f>IF(OR(J$164="Bauweise wählen",J$165="Bauweise / Betriebsbedingungen wählen"),"",IF($G$95=0,"",ROUND(9*$G$95,2)&amp;" bis "&amp;ROUND(9*$G$95/J$164/J$165,2)&amp;" m"))</f>
        <v>0.9 bis 1.13 m</v>
      </c>
      <c r="J160" s="317"/>
      <c r="K160" s="319"/>
      <c r="L160" s="20"/>
      <c r="M160" s="128" t="str">
        <f>IF(OR(N$164="Bauweise wählen",N$165="Bauweise / Betriebsbedingungen wählen"),"",IF($G$95=0,"",ROUND(9*$G$95,2)&amp;" bis "&amp;ROUND(9*$G$95/N$164/N$165,2)&amp;" m"))</f>
        <v>0.9 bis 0.95 m</v>
      </c>
      <c r="N160" s="317"/>
      <c r="O160" s="319"/>
      <c r="P160" s="20"/>
      <c r="Q160" s="128" t="str">
        <f>IF(OR(R$164="Bauweise wählen",R$165="Bauweise / Betriebsbedingungen wählen"),"",IF($G$95=0,"",ROUND(9*$G$95,2)&amp;" bis "&amp;ROUND(9*$G$95/R$164/R$165,2)&amp;" m"))</f>
        <v>0.9 bis 1.13 m</v>
      </c>
      <c r="R160" s="317"/>
      <c r="S160" s="319"/>
      <c r="T160" s="20"/>
      <c r="U160" s="128" t="str">
        <f>IF(OR(V$164="Bauweise wählen",V$165="Bauweise / Betriebsbedingungen wählen"),"",IF($G$95=0,"",ROUND(9*$G$95,2)&amp;" bis "&amp;ROUND(9*$G$95/V$164/V$165,2)&amp;" m"))</f>
        <v/>
      </c>
      <c r="V160" s="317"/>
      <c r="W160" s="319"/>
      <c r="X160" s="20"/>
      <c r="Y160" s="128" t="str">
        <f>IF(OR(Z$164="Bauweise wählen",Z$165="Bauweise / Betriebsbedingungen wählen"),"",IF($G$95=0,"",ROUND(9*$G$95,2)&amp;" bis "&amp;ROUND(9*$G$95/Z$164/Z$165,2)&amp;" m"))</f>
        <v/>
      </c>
      <c r="Z160" s="317"/>
      <c r="AA160" s="319"/>
      <c r="AB160" s="18"/>
      <c r="AD160" s="90"/>
      <c r="AF160" s="49"/>
      <c r="AG160" s="123" t="s">
        <v>42</v>
      </c>
      <c r="AH160" s="312"/>
      <c r="AI160" s="25" t="s">
        <v>451</v>
      </c>
      <c r="AJ160" s="25" t="s">
        <v>452</v>
      </c>
      <c r="AK160" s="25" t="s">
        <v>452</v>
      </c>
      <c r="AL160" s="25" t="s">
        <v>453</v>
      </c>
      <c r="AO160" s="7"/>
    </row>
    <row r="161" spans="3:41" s="5" customFormat="1" ht="15" customHeight="1" x14ac:dyDescent="0.25">
      <c r="C161" s="28"/>
      <c r="D161" s="32"/>
      <c r="E161" s="314"/>
      <c r="F161" s="56" t="s">
        <v>438</v>
      </c>
      <c r="G161" s="28"/>
      <c r="H161" s="28"/>
      <c r="I161" s="128" t="str">
        <f>IF(OR(J$164="Bauweise wählen",J$165="Bauweise / Betriebsbedingungen wählen"),"",IF($G$95=0,"","&lt; "&amp;ROUND(9*$G$95,2)&amp;" m"))</f>
        <v>&lt; 0.9 m</v>
      </c>
      <c r="J161" s="262"/>
      <c r="K161" s="320"/>
      <c r="L161" s="20"/>
      <c r="M161" s="128" t="str">
        <f>IF(OR(N$164="Bauweise wählen",N$165="Bauweise / Betriebsbedingungen wählen"),"",IF($G$95=0,"","&lt; "&amp;ROUND(9*$G$95,2)&amp;" m"))</f>
        <v>&lt; 0.9 m</v>
      </c>
      <c r="N161" s="262"/>
      <c r="O161" s="320"/>
      <c r="P161" s="20"/>
      <c r="Q161" s="128" t="str">
        <f>IF(OR(R$164="Bauweise wählen",R$165="Bauweise / Betriebsbedingungen wählen"),"",IF($G$95=0,"","&lt; "&amp;ROUND(9*$G$95,2)&amp;" m"))</f>
        <v>&lt; 0.9 m</v>
      </c>
      <c r="R161" s="262"/>
      <c r="S161" s="320"/>
      <c r="T161" s="20"/>
      <c r="U161" s="128" t="str">
        <f>IF(OR(V$164="Bauweise wählen",V$165="Bauweise / Betriebsbedingungen wählen"),"",IF($G$95=0,"","&lt; "&amp;ROUND(9*$G$95,2)&amp;" m"))</f>
        <v/>
      </c>
      <c r="V161" s="262"/>
      <c r="W161" s="320"/>
      <c r="X161" s="20"/>
      <c r="Y161" s="128" t="str">
        <f>IF(OR(Z$164="Bauweise wählen",Z$165="Bauweise / Betriebsbedingungen wählen"),"",IF($G$95=0,"","&lt; "&amp;ROUND(9*$G$95,2)&amp;" m"))</f>
        <v/>
      </c>
      <c r="Z161" s="262"/>
      <c r="AA161" s="320"/>
      <c r="AB161" s="18"/>
      <c r="AD161" s="90"/>
      <c r="AF161" s="50"/>
      <c r="AG161" s="123" t="s">
        <v>43</v>
      </c>
      <c r="AH161" s="303"/>
      <c r="AI161" s="25" t="s">
        <v>454</v>
      </c>
      <c r="AJ161" s="25" t="s">
        <v>455</v>
      </c>
      <c r="AK161" s="25" t="s">
        <v>455</v>
      </c>
      <c r="AL161" s="25" t="s">
        <v>456</v>
      </c>
      <c r="AO161" s="7"/>
    </row>
    <row r="162" spans="3:41" s="5" customFormat="1" ht="15" customHeight="1" x14ac:dyDescent="0.25">
      <c r="C162" s="28"/>
      <c r="D162" s="28"/>
      <c r="E162" s="28"/>
      <c r="F162" s="28"/>
      <c r="G162" s="28"/>
      <c r="H162" s="28"/>
      <c r="I162" s="28"/>
      <c r="J162" s="25" t="str">
        <f>IF($E$95=0,"FEHLER",IF(COUNT(J156:J161)&gt;1,"FEHLER",IF(COUNT(J156:J161)&lt;1,"WERT?",IF(I156="FEHLER","FEHLER",IF(ISNUMBER(J156),IF(J156&gt;=ROUND(6*$G$95/J$164/J$165,2),"gut",IF(AND(J156&gt;=ROUND(6*$G$95,2),J156&lt;ROUND(6*$G$95/J$164/J$165,2)),"mässig","schlecht")),IF(J159&gt;=ROUND(9*$G$95/J$164/J$165,2),"gut",IF(AND(J159&gt;=ROUND(9*$G$95,2),J159&lt;ROUND(9*$G$95/J$164/J$165,2)),"mässig","schlecht")))))))</f>
        <v>gut</v>
      </c>
      <c r="K162" s="99" t="s">
        <v>45</v>
      </c>
      <c r="L162" s="20"/>
      <c r="M162" s="18"/>
      <c r="N162" s="25" t="str">
        <f>IF($E$95=0,"FEHLER",IF(COUNT(N156:N161)&gt;1,"FEHLER",IF(COUNT(N156:N161)&lt;1,"WERT?",IF(M156="FEHLER","FEHLER",IF(ISNUMBER(N156),IF(N156&gt;=ROUND(6*$G$95/N$164/N$165,2),"gut",IF(AND(N156&gt;=ROUND(6*$G$95,2),N156&lt;ROUND(6*$G$95/N$164/N$165,2)),"mässig","schlecht")),IF(N159&gt;=ROUND(9*$G$95/N$164/N$165,2),"gut",IF(AND(N159&gt;=ROUND(9*$G$95,2),N159&lt;ROUND(9*$G$95/N$164/N$165,2)),"mässig","schlecht")))))))</f>
        <v>gut</v>
      </c>
      <c r="O162" s="99" t="s">
        <v>45</v>
      </c>
      <c r="P162" s="20"/>
      <c r="Q162" s="18"/>
      <c r="R162" s="25" t="str">
        <f>IF($E$95=0,"FEHLER",IF(COUNT(R156:R161)&gt;1,"FEHLER",IF(COUNT(R156:R161)&lt;1,"WERT?",IF(Q156="FEHLER","FEHLER",IF(ISNUMBER(R156),IF(R156&gt;=ROUND(6*$G$95/R$164/R$165,2),"gut",IF(AND(R156&gt;=ROUND(6*$G$95,2),R156&lt;ROUND(6*$G$95/R$164/R$165,2)),"mässig","schlecht")),IF(R159&gt;=ROUND(9*$G$95/R$164/R$165,2),"gut",IF(AND(R159&gt;=ROUND(9*$G$95,2),R159&lt;ROUND(9*$G$95/R$164/R$165,2)),"mässig","schlecht")))))))</f>
        <v>gut</v>
      </c>
      <c r="S162" s="99" t="s">
        <v>45</v>
      </c>
      <c r="T162" s="20"/>
      <c r="U162" s="18"/>
      <c r="V162" s="25" t="str">
        <f>IF($E$95=0,"FEHLER",IF(COUNT(V156:V161)&gt;1,"FEHLER",IF(COUNT(V156:V161)&lt;1,"WERT?",IF(U156="FEHLER","FEHLER",IF(ISNUMBER(V156),IF(V156&gt;=ROUND(6*$G$95/V$164/V$165,2),"gut",IF(AND(V156&gt;=ROUND(6*$G$95,2),V156&lt;ROUND(6*$G$95/V$164/V$165,2)),"mässig","schlecht")),IF(V159&gt;=ROUND(9*$G$95/V$164/V$165,2),"gut",IF(AND(V159&gt;=ROUND(9*$G$95,2),V159&lt;ROUND(9*$G$95/V$164/V$165,2)),"mässig","schlecht")))))))</f>
        <v>WERT?</v>
      </c>
      <c r="W162" s="99" t="s">
        <v>45</v>
      </c>
      <c r="X162" s="20"/>
      <c r="Y162" s="18"/>
      <c r="Z162" s="25" t="str">
        <f>IF($E$95=0,"FEHLER",IF(COUNT(Z156:Z161)&gt;1,"FEHLER",IF(COUNT(Z156:Z161)&lt;1,"WERT?",IF(Y156="FEHLER","FEHLER",IF(ISNUMBER(Z156),IF(Z156&gt;=ROUND(6*$G$95/Z$164/Z$165,2),"gut",IF(AND(Z156&gt;=ROUND(6*$G$95,2),Z156&lt;ROUND(6*$G$95/Z$164/Z$165,2)),"mässig","schlecht")),IF(Z159&gt;=ROUND(9*$G$95/Z$164/Z$165,2),"gut",IF(AND(Z159&gt;=ROUND(9*$G$95,2),Z159&lt;ROUND(9*$G$95/Z$164/Z$165,2)),"mässig","schlecht")))))))</f>
        <v>WERT?</v>
      </c>
      <c r="AA162" s="99" t="s">
        <v>45</v>
      </c>
      <c r="AB162" s="18"/>
      <c r="AD162" s="51"/>
      <c r="AF162" s="28"/>
      <c r="AG162" s="28"/>
      <c r="AH162" s="28"/>
      <c r="AI162" s="28"/>
      <c r="AJ162" s="28"/>
      <c r="AK162" s="28"/>
      <c r="AL162" s="28"/>
      <c r="AO162" s="7"/>
    </row>
    <row r="163" spans="3:41" s="5" customFormat="1" ht="15" customHeight="1" x14ac:dyDescent="0.25">
      <c r="C163" s="28"/>
      <c r="D163" s="28"/>
      <c r="E163" s="28"/>
      <c r="F163" s="28"/>
      <c r="G163" s="28"/>
      <c r="H163" s="28"/>
      <c r="I163" s="28"/>
      <c r="J163" s="18"/>
      <c r="K163" s="18"/>
      <c r="L163" s="18"/>
      <c r="M163" s="18"/>
      <c r="N163" s="18"/>
      <c r="O163" s="18"/>
      <c r="P163" s="18"/>
      <c r="Q163" s="18"/>
      <c r="R163" s="18"/>
      <c r="S163" s="18"/>
      <c r="T163" s="18"/>
      <c r="U163" s="18"/>
      <c r="V163" s="18"/>
      <c r="W163" s="18"/>
      <c r="X163" s="18"/>
      <c r="Y163" s="18"/>
      <c r="Z163" s="18"/>
      <c r="AA163" s="18"/>
      <c r="AB163" s="18"/>
      <c r="AD163" s="51"/>
      <c r="AF163" s="28"/>
      <c r="AG163" s="28"/>
      <c r="AH163" s="28"/>
      <c r="AI163" s="28"/>
      <c r="AJ163" s="28"/>
      <c r="AK163" s="28"/>
      <c r="AL163" s="28"/>
      <c r="AO163" s="7"/>
    </row>
    <row r="164" spans="3:41" s="5" customFormat="1" ht="15" customHeight="1" x14ac:dyDescent="0.25">
      <c r="J164" s="139">
        <f>'(3) Variantenbewertung'!I$27</f>
        <v>0.8</v>
      </c>
      <c r="K164" s="1"/>
      <c r="L164" s="16"/>
      <c r="M164" s="16"/>
      <c r="N164" s="139">
        <f>'(3) Variantenbewertung'!L$27</f>
        <v>1</v>
      </c>
      <c r="O164" s="1"/>
      <c r="P164" s="16"/>
      <c r="Q164" s="16"/>
      <c r="R164" s="139">
        <f>'(3) Variantenbewertung'!O$27</f>
        <v>0.8</v>
      </c>
      <c r="S164" s="1"/>
      <c r="T164" s="16"/>
      <c r="U164" s="16"/>
      <c r="V164" s="139" t="str">
        <f>'(3) Variantenbewertung'!R$27</f>
        <v>Bauweise wählen</v>
      </c>
      <c r="W164" s="1"/>
      <c r="X164" s="16"/>
      <c r="Y164" s="16"/>
      <c r="Z164" s="139" t="str">
        <f>'(3) Variantenbewertung'!U$27</f>
        <v>Bauweise wählen</v>
      </c>
      <c r="AA164" s="1"/>
      <c r="AB164" s="1"/>
      <c r="AD164" s="51"/>
      <c r="AI164" s="6"/>
    </row>
    <row r="165" spans="3:41" s="5" customFormat="1" ht="15" customHeight="1" x14ac:dyDescent="0.25">
      <c r="J165" s="139">
        <f>'(3) Variantenbewertung'!I$35</f>
        <v>1</v>
      </c>
      <c r="K165" s="1"/>
      <c r="L165" s="1"/>
      <c r="M165" s="1"/>
      <c r="N165" s="139">
        <f>'(3) Variantenbewertung'!L$35</f>
        <v>0.95</v>
      </c>
      <c r="O165" s="1"/>
      <c r="P165" s="1"/>
      <c r="Q165" s="1"/>
      <c r="R165" s="139">
        <f>'(3) Variantenbewertung'!O$35</f>
        <v>1</v>
      </c>
      <c r="S165" s="1"/>
      <c r="T165" s="1"/>
      <c r="U165" s="1"/>
      <c r="V165" s="139" t="str">
        <f>'(3) Variantenbewertung'!R$35</f>
        <v/>
      </c>
      <c r="W165" s="1"/>
      <c r="X165" s="1"/>
      <c r="Y165" s="1"/>
      <c r="Z165" s="139" t="str">
        <f>'(3) Variantenbewertung'!U$35</f>
        <v/>
      </c>
      <c r="AA165" s="1"/>
      <c r="AB165" s="1"/>
      <c r="AD165" s="51"/>
      <c r="AI165" s="6"/>
    </row>
    <row r="166" spans="3:41" s="5" customFormat="1" ht="15" customHeight="1" x14ac:dyDescent="0.25">
      <c r="C166" s="266" t="s">
        <v>433</v>
      </c>
      <c r="D166" s="266"/>
      <c r="E166" s="266"/>
      <c r="F166" s="266"/>
      <c r="G166" s="28"/>
      <c r="H166" s="28"/>
      <c r="I166" s="28"/>
      <c r="J166" s="18"/>
      <c r="K166" s="18"/>
      <c r="L166" s="18"/>
      <c r="M166" s="18"/>
      <c r="N166" s="18"/>
      <c r="O166" s="18"/>
      <c r="P166" s="18"/>
      <c r="Q166" s="18"/>
      <c r="R166" s="18"/>
      <c r="S166" s="18"/>
      <c r="T166" s="18"/>
      <c r="U166" s="18"/>
      <c r="V166" s="18"/>
      <c r="W166" s="18"/>
      <c r="X166" s="18"/>
      <c r="Y166" s="18"/>
      <c r="Z166" s="18"/>
      <c r="AA166" s="18"/>
      <c r="AB166" s="18"/>
      <c r="AD166" s="51"/>
      <c r="AF166" s="27"/>
      <c r="AG166" s="28"/>
      <c r="AH166" s="27"/>
      <c r="AI166" s="309"/>
      <c r="AJ166" s="309"/>
      <c r="AK166" s="309"/>
      <c r="AL166" s="309"/>
    </row>
    <row r="167" spans="3:41" s="5" customFormat="1" ht="15" customHeight="1" x14ac:dyDescent="0.25">
      <c r="C167" s="28"/>
      <c r="D167" s="321" t="s">
        <v>458</v>
      </c>
      <c r="E167" s="329"/>
      <c r="F167" s="329"/>
      <c r="G167" s="329"/>
      <c r="H167" s="182"/>
      <c r="I167" s="70"/>
      <c r="J167" s="316" t="str">
        <f>IF(ISBLANK('(3) Variantenbewertung'!$I$11),"",'(3) Variantenbewertung'!$I$11)</f>
        <v>V1</v>
      </c>
      <c r="K167" s="316"/>
      <c r="L167" s="18"/>
      <c r="M167" s="18"/>
      <c r="N167" s="316" t="str">
        <f>IF(ISBLANK('(3) Variantenbewertung'!$L$11),"",'(3) Variantenbewertung'!$L$11)</f>
        <v>V2</v>
      </c>
      <c r="O167" s="316"/>
      <c r="P167" s="18"/>
      <c r="Q167" s="18"/>
      <c r="R167" s="316" t="str">
        <f>IF(ISBLANK('(3) Variantenbewertung'!$O$11),"",'(3) Variantenbewertung'!$O$11)</f>
        <v>V3</v>
      </c>
      <c r="S167" s="316"/>
      <c r="T167" s="55"/>
      <c r="U167" s="18"/>
      <c r="V167" s="316" t="str">
        <f>IF(ISBLANK('(3) Variantenbewertung'!$R$11),"",'(3) Variantenbewertung'!$R$11)</f>
        <v/>
      </c>
      <c r="W167" s="316"/>
      <c r="X167" s="18"/>
      <c r="Y167" s="18"/>
      <c r="Z167" s="316" t="str">
        <f>IF(ISBLANK('(3) Variantenbewertung'!$U$11),"",'(3) Variantenbewertung'!$U$11)</f>
        <v/>
      </c>
      <c r="AA167" s="316"/>
      <c r="AB167" s="18"/>
      <c r="AD167" s="51"/>
      <c r="AF167" s="27"/>
      <c r="AG167" s="28"/>
      <c r="AH167" s="27"/>
      <c r="AI167" s="28"/>
      <c r="AJ167" s="28"/>
      <c r="AK167" s="28"/>
      <c r="AL167" s="28"/>
    </row>
    <row r="168" spans="3:41" s="5" customFormat="1" ht="15" customHeight="1" x14ac:dyDescent="0.25">
      <c r="C168" s="28"/>
      <c r="D168" s="329"/>
      <c r="E168" s="329"/>
      <c r="F168" s="329"/>
      <c r="G168" s="329"/>
      <c r="H168" s="182"/>
      <c r="I168" s="28"/>
      <c r="J168" s="132" t="s">
        <v>221</v>
      </c>
      <c r="K168" s="133" t="s">
        <v>222</v>
      </c>
      <c r="L168" s="126"/>
      <c r="M168" s="17"/>
      <c r="N168" s="132" t="s">
        <v>221</v>
      </c>
      <c r="O168" s="133" t="s">
        <v>222</v>
      </c>
      <c r="P168" s="126"/>
      <c r="Q168" s="17"/>
      <c r="R168" s="132" t="s">
        <v>221</v>
      </c>
      <c r="S168" s="133" t="s">
        <v>222</v>
      </c>
      <c r="T168" s="126"/>
      <c r="U168" s="17"/>
      <c r="V168" s="132" t="s">
        <v>221</v>
      </c>
      <c r="W168" s="133" t="s">
        <v>222</v>
      </c>
      <c r="X168" s="126"/>
      <c r="Y168" s="17"/>
      <c r="Z168" s="132" t="s">
        <v>221</v>
      </c>
      <c r="AA168" s="133" t="s">
        <v>222</v>
      </c>
      <c r="AB168" s="17"/>
      <c r="AD168" s="51"/>
      <c r="AF168" s="27"/>
      <c r="AG168" s="28"/>
      <c r="AH168" s="27"/>
      <c r="AI168" s="294"/>
      <c r="AJ168" s="294"/>
      <c r="AK168" s="294"/>
      <c r="AL168" s="294"/>
    </row>
    <row r="169" spans="3:41" s="5" customFormat="1" ht="15" customHeight="1" x14ac:dyDescent="0.25">
      <c r="C169" s="28"/>
      <c r="D169" s="28"/>
      <c r="E169" s="27"/>
      <c r="F169" s="27"/>
      <c r="G169" s="28"/>
      <c r="H169" s="28"/>
      <c r="I169" s="28"/>
      <c r="J169" s="125" t="s">
        <v>66</v>
      </c>
      <c r="K169" s="53" t="str">
        <f>IF(NOT(K173="keine Korrektur"),"Bitte begründen:","")</f>
        <v/>
      </c>
      <c r="L169" s="127"/>
      <c r="M169" s="17"/>
      <c r="N169" s="125" t="s">
        <v>66</v>
      </c>
      <c r="O169" s="53" t="str">
        <f>IF(NOT(O173="keine Korrektur"),"Bitte begründen:","")</f>
        <v/>
      </c>
      <c r="P169" s="127"/>
      <c r="Q169" s="17"/>
      <c r="R169" s="125" t="s">
        <v>66</v>
      </c>
      <c r="S169" s="53" t="str">
        <f>IF(NOT(S173="keine Korrektur"),"Bitte begründen:","")</f>
        <v/>
      </c>
      <c r="T169" s="127"/>
      <c r="U169" s="17"/>
      <c r="V169" s="125" t="s">
        <v>66</v>
      </c>
      <c r="W169" s="53" t="str">
        <f>IF(NOT(W173="keine Korrektur"),"Bitte begründen:","")</f>
        <v/>
      </c>
      <c r="X169" s="127"/>
      <c r="Y169" s="17"/>
      <c r="Z169" s="125" t="s">
        <v>66</v>
      </c>
      <c r="AA169" s="53" t="str">
        <f>IF(NOT(AA173="keine Korrektur"),"Bitte begründen:","")</f>
        <v/>
      </c>
      <c r="AB169" s="17"/>
      <c r="AD169" s="51"/>
      <c r="AF169" s="27"/>
      <c r="AG169" s="27"/>
      <c r="AH169" s="27"/>
      <c r="AI169" s="27"/>
      <c r="AJ169" s="27"/>
      <c r="AK169" s="27"/>
      <c r="AL169" s="27"/>
    </row>
    <row r="170" spans="3:41" s="5" customFormat="1" ht="15" customHeight="1" x14ac:dyDescent="0.25">
      <c r="C170" s="28"/>
      <c r="D170" s="30"/>
      <c r="E170" s="265" t="str">
        <f>AI170</f>
        <v>&gt;&gt; 1% der effektiv turbinierten Wassermenge</v>
      </c>
      <c r="F170" s="265"/>
      <c r="G170" s="28"/>
      <c r="H170" s="28"/>
      <c r="I170" s="28"/>
      <c r="J170" s="198"/>
      <c r="K170" s="318"/>
      <c r="L170" s="20"/>
      <c r="M170" s="18"/>
      <c r="N170" s="199" t="s">
        <v>178</v>
      </c>
      <c r="O170" s="318"/>
      <c r="P170" s="20"/>
      <c r="Q170" s="18"/>
      <c r="R170" s="199"/>
      <c r="S170" s="318"/>
      <c r="T170" s="20"/>
      <c r="U170" s="20"/>
      <c r="V170" s="199"/>
      <c r="W170" s="318"/>
      <c r="X170" s="20"/>
      <c r="Y170" s="18"/>
      <c r="Z170" s="199"/>
      <c r="AA170" s="318"/>
      <c r="AB170" s="18"/>
      <c r="AD170" s="51"/>
      <c r="AF170" s="66"/>
      <c r="AG170" s="305" t="s">
        <v>10</v>
      </c>
      <c r="AH170" s="306"/>
      <c r="AI170" s="298" t="s">
        <v>404</v>
      </c>
      <c r="AJ170" s="227"/>
      <c r="AK170" s="227"/>
      <c r="AL170" s="228"/>
    </row>
    <row r="171" spans="3:41" s="5" customFormat="1" ht="15" customHeight="1" x14ac:dyDescent="0.25">
      <c r="C171" s="36"/>
      <c r="D171" s="35"/>
      <c r="E171" s="265" t="str">
        <f>AI171</f>
        <v>≈ 1% der effektiv turbinierten Wassermenge</v>
      </c>
      <c r="F171" s="265"/>
      <c r="G171" s="28"/>
      <c r="H171" s="28"/>
      <c r="I171" s="28"/>
      <c r="J171" s="99" t="s">
        <v>178</v>
      </c>
      <c r="K171" s="319"/>
      <c r="L171" s="20"/>
      <c r="M171" s="18"/>
      <c r="N171" s="99"/>
      <c r="O171" s="319"/>
      <c r="P171" s="20"/>
      <c r="Q171" s="18"/>
      <c r="R171" s="99" t="s">
        <v>178</v>
      </c>
      <c r="S171" s="319"/>
      <c r="T171" s="20"/>
      <c r="U171" s="18"/>
      <c r="V171" s="99"/>
      <c r="W171" s="319"/>
      <c r="X171" s="20"/>
      <c r="Y171" s="18"/>
      <c r="Z171" s="99"/>
      <c r="AA171" s="319"/>
      <c r="AB171" s="18"/>
      <c r="AD171" s="51"/>
      <c r="AF171" s="31"/>
      <c r="AG171" s="305" t="s">
        <v>42</v>
      </c>
      <c r="AH171" s="306"/>
      <c r="AI171" s="298" t="s">
        <v>405</v>
      </c>
      <c r="AJ171" s="227"/>
      <c r="AK171" s="227"/>
      <c r="AL171" s="228"/>
    </row>
    <row r="172" spans="3:41" s="5" customFormat="1" ht="15" customHeight="1" x14ac:dyDescent="0.25">
      <c r="C172" s="28"/>
      <c r="D172" s="32"/>
      <c r="E172" s="265" t="str">
        <f>AI172</f>
        <v>&lt;&lt; 1% der effektiv turbinierten Wassermenge</v>
      </c>
      <c r="F172" s="265"/>
      <c r="G172" s="28"/>
      <c r="H172" s="28"/>
      <c r="I172" s="28"/>
      <c r="J172" s="99"/>
      <c r="K172" s="320"/>
      <c r="L172" s="20"/>
      <c r="M172" s="18"/>
      <c r="N172" s="99"/>
      <c r="O172" s="320"/>
      <c r="P172" s="20"/>
      <c r="Q172" s="18"/>
      <c r="R172" s="99"/>
      <c r="S172" s="320"/>
      <c r="T172" s="20"/>
      <c r="U172" s="18"/>
      <c r="V172" s="99"/>
      <c r="W172" s="320"/>
      <c r="X172" s="20"/>
      <c r="Y172" s="18"/>
      <c r="Z172" s="99"/>
      <c r="AA172" s="320"/>
      <c r="AB172" s="18"/>
      <c r="AD172" s="51"/>
      <c r="AF172" s="32"/>
      <c r="AG172" s="305" t="s">
        <v>43</v>
      </c>
      <c r="AH172" s="306"/>
      <c r="AI172" s="298" t="s">
        <v>457</v>
      </c>
      <c r="AJ172" s="227"/>
      <c r="AK172" s="227"/>
      <c r="AL172" s="228"/>
    </row>
    <row r="173" spans="3:41" s="5" customFormat="1" ht="15" customHeight="1" x14ac:dyDescent="0.25">
      <c r="C173" s="28"/>
      <c r="D173" s="28"/>
      <c r="E173" s="28"/>
      <c r="F173" s="28"/>
      <c r="G173" s="28"/>
      <c r="H173" s="28"/>
      <c r="I173" s="28"/>
      <c r="J173" s="25" t="str">
        <f>IF('(1) Grundlagen'!$H$50="Bitte wählen","FEHLER",IF(COUNTIF(J$170:J$172,"x")&lt;&gt;1,"FEHLER",IF(J$170="x","gut",IF(J$171="x","mässig","schlecht"))))</f>
        <v>mässig</v>
      </c>
      <c r="K173" s="99" t="s">
        <v>45</v>
      </c>
      <c r="L173" s="20"/>
      <c r="M173" s="18"/>
      <c r="N173" s="25" t="str">
        <f>IF('(1) Grundlagen'!$H$50="Bitte wählen","FEHLER",IF(COUNTIF(N$170:N$172,"x")&lt;&gt;1,"FEHLER",IF(N$170="x","gut",IF(N$171="x","mässig","schlecht"))))</f>
        <v>gut</v>
      </c>
      <c r="O173" s="99" t="s">
        <v>45</v>
      </c>
      <c r="P173" s="20"/>
      <c r="Q173" s="18"/>
      <c r="R173" s="25" t="str">
        <f>IF('(1) Grundlagen'!$H$50="Bitte wählen","FEHLER",IF(COUNTIF(R$170:R$172,"x")&lt;&gt;1,"FEHLER",IF(R$170="x","gut",IF(R$171="x","mässig","schlecht"))))</f>
        <v>mässig</v>
      </c>
      <c r="S173" s="99" t="s">
        <v>45</v>
      </c>
      <c r="T173" s="20"/>
      <c r="U173" s="18"/>
      <c r="V173" s="25" t="str">
        <f>IF('(1) Grundlagen'!$H$50="Bitte wählen","FEHLER",IF(COUNTIF(V$170:V$172,"x")&lt;&gt;1,"FEHLER",IF(V$170="x","gut",IF(V$171="x","mässig","schlecht"))))</f>
        <v>FEHLER</v>
      </c>
      <c r="W173" s="99" t="s">
        <v>45</v>
      </c>
      <c r="X173" s="20"/>
      <c r="Y173" s="18"/>
      <c r="Z173" s="25" t="str">
        <f>IF('(1) Grundlagen'!$H$50="Bitte wählen","FEHLER",IF(COUNTIF(Z$170:Z$172,"x")&lt;&gt;1,"FEHLER",IF(Z$170="x","gut",IF(Z$171="x","mässig","schlecht"))))</f>
        <v>FEHLER</v>
      </c>
      <c r="AA173" s="99" t="s">
        <v>45</v>
      </c>
      <c r="AB173" s="18"/>
      <c r="AD173" s="51"/>
      <c r="AF173" s="28"/>
      <c r="AG173" s="28"/>
      <c r="AH173" s="28"/>
      <c r="AI173" s="27"/>
      <c r="AJ173" s="27"/>
      <c r="AK173" s="28"/>
      <c r="AL173" s="28"/>
    </row>
    <row r="174" spans="3:41" s="5" customFormat="1" ht="15" customHeight="1" x14ac:dyDescent="0.25">
      <c r="C174" s="28"/>
      <c r="D174" s="28"/>
      <c r="E174" s="28"/>
      <c r="F174" s="28"/>
      <c r="G174" s="28"/>
      <c r="H174" s="28"/>
      <c r="I174" s="28"/>
      <c r="J174" s="18"/>
      <c r="K174" s="18"/>
      <c r="L174" s="18"/>
      <c r="M174" s="18"/>
      <c r="N174" s="18"/>
      <c r="O174" s="18"/>
      <c r="P174" s="18"/>
      <c r="Q174" s="18"/>
      <c r="R174" s="18"/>
      <c r="S174" s="18"/>
      <c r="T174" s="18"/>
      <c r="U174" s="18"/>
      <c r="V174" s="18"/>
      <c r="W174" s="18"/>
      <c r="X174" s="18"/>
      <c r="Y174" s="18"/>
      <c r="Z174" s="18"/>
      <c r="AA174" s="18"/>
      <c r="AB174" s="18"/>
      <c r="AD174" s="51"/>
      <c r="AF174" s="28"/>
      <c r="AG174" s="28"/>
      <c r="AH174" s="28"/>
      <c r="AI174" s="27"/>
      <c r="AJ174" s="27"/>
      <c r="AK174" s="28"/>
      <c r="AL174" s="28"/>
    </row>
    <row r="175" spans="3:41" s="5" customFormat="1" ht="15" customHeight="1" x14ac:dyDescent="0.25">
      <c r="J175" s="1"/>
      <c r="K175" s="1"/>
      <c r="L175" s="1"/>
      <c r="M175" s="1"/>
      <c r="N175" s="1"/>
      <c r="O175" s="1"/>
      <c r="P175" s="1"/>
      <c r="Q175" s="1"/>
      <c r="R175" s="1"/>
      <c r="S175" s="1"/>
      <c r="T175" s="1"/>
      <c r="U175" s="1"/>
      <c r="V175" s="1"/>
      <c r="W175" s="1"/>
      <c r="X175" s="1"/>
      <c r="Y175" s="1"/>
      <c r="Z175" s="1"/>
      <c r="AA175" s="1"/>
      <c r="AB175" s="1"/>
      <c r="AD175" s="51"/>
      <c r="AI175" s="6"/>
    </row>
    <row r="176" spans="3:41" s="5" customFormat="1" ht="15" customHeight="1" x14ac:dyDescent="0.25">
      <c r="J176" s="1"/>
      <c r="K176" s="1"/>
      <c r="L176" s="1"/>
      <c r="M176" s="1"/>
      <c r="N176" s="1"/>
      <c r="O176" s="1"/>
      <c r="P176" s="1"/>
      <c r="Q176" s="1"/>
      <c r="R176" s="1"/>
      <c r="S176" s="1"/>
      <c r="T176" s="1"/>
      <c r="U176" s="1"/>
      <c r="V176" s="1"/>
      <c r="W176" s="1"/>
      <c r="X176" s="1"/>
      <c r="Y176" s="1"/>
      <c r="Z176" s="1"/>
      <c r="AA176" s="1"/>
      <c r="AB176" s="1"/>
      <c r="AD176" s="51"/>
      <c r="AI176" s="6"/>
    </row>
    <row r="177" spans="2:41" s="5" customFormat="1" ht="15" customHeight="1" x14ac:dyDescent="0.25">
      <c r="J177" s="1"/>
      <c r="K177" s="1"/>
      <c r="L177" s="1"/>
      <c r="M177" s="1"/>
      <c r="N177" s="1"/>
      <c r="O177" s="1"/>
      <c r="P177" s="1"/>
      <c r="Q177" s="1"/>
      <c r="R177" s="1"/>
      <c r="S177" s="1"/>
      <c r="T177" s="1"/>
      <c r="U177" s="1"/>
      <c r="V177" s="1"/>
      <c r="W177" s="1"/>
      <c r="X177" s="1"/>
      <c r="Y177" s="1"/>
      <c r="Z177" s="1"/>
      <c r="AA177" s="1"/>
      <c r="AB177" s="1"/>
      <c r="AD177" s="51"/>
      <c r="AH177" s="310"/>
      <c r="AI177" s="310"/>
      <c r="AJ177" s="310"/>
      <c r="AK177" s="310"/>
      <c r="AL177" s="310"/>
      <c r="AO177" s="7"/>
    </row>
    <row r="178" spans="2:41" s="5" customFormat="1" ht="15" customHeight="1" x14ac:dyDescent="0.25">
      <c r="C178" s="2"/>
      <c r="D178" s="2"/>
      <c r="E178" s="2"/>
      <c r="F178" s="38"/>
      <c r="G178" s="29"/>
      <c r="H178" s="29"/>
      <c r="I178" s="29"/>
      <c r="J178" s="34"/>
      <c r="K178" s="34"/>
      <c r="L178" s="34"/>
      <c r="M178" s="34"/>
      <c r="N178" s="34"/>
      <c r="O178" s="34"/>
      <c r="P178" s="34"/>
      <c r="Q178" s="34"/>
      <c r="R178" s="34"/>
      <c r="S178" s="34"/>
      <c r="T178" s="34"/>
      <c r="U178" s="34"/>
      <c r="V178" s="34"/>
      <c r="W178" s="34"/>
      <c r="X178" s="34"/>
      <c r="Y178" s="34"/>
      <c r="Z178" s="34"/>
      <c r="AA178" s="34"/>
      <c r="AB178" s="34"/>
      <c r="AD178" s="51"/>
      <c r="AO178" s="7"/>
    </row>
    <row r="179" spans="2:41" s="5" customFormat="1" ht="15" customHeight="1" x14ac:dyDescent="0.25">
      <c r="F179" s="29"/>
      <c r="G179" s="29"/>
      <c r="H179" s="29"/>
      <c r="I179" s="130"/>
      <c r="J179" s="316" t="str">
        <f>IF(ISBLANK('(3) Variantenbewertung'!$I$11),"",'(3) Variantenbewertung'!$I$11)</f>
        <v>V1</v>
      </c>
      <c r="K179" s="316"/>
      <c r="L179" s="34"/>
      <c r="M179" s="34"/>
      <c r="N179" s="316" t="str">
        <f>IF(ISBLANK('(3) Variantenbewertung'!$L$11),"",'(3) Variantenbewertung'!$L$11)</f>
        <v>V2</v>
      </c>
      <c r="O179" s="316"/>
      <c r="P179" s="34"/>
      <c r="Q179" s="34"/>
      <c r="R179" s="316" t="str">
        <f>IF(ISBLANK('(3) Variantenbewertung'!$O$11),"",'(3) Variantenbewertung'!$O$11)</f>
        <v>V3</v>
      </c>
      <c r="S179" s="316"/>
      <c r="T179" s="81"/>
      <c r="U179" s="34"/>
      <c r="V179" s="316" t="str">
        <f>IF(ISBLANK('(3) Variantenbewertung'!$R$11),"",'(3) Variantenbewertung'!$R$11)</f>
        <v/>
      </c>
      <c r="W179" s="316"/>
      <c r="X179" s="34"/>
      <c r="Y179" s="34"/>
      <c r="Z179" s="316" t="str">
        <f>IF(ISBLANK('(3) Variantenbewertung'!$U$11),"",'(3) Variantenbewertung'!$U$11)</f>
        <v/>
      </c>
      <c r="AA179" s="316"/>
      <c r="AB179" s="34"/>
      <c r="AD179" s="51"/>
      <c r="AO179" s="7"/>
    </row>
    <row r="180" spans="2:41" s="5" customFormat="1" ht="15" customHeight="1" x14ac:dyDescent="0.25">
      <c r="F180" s="29"/>
      <c r="G180" s="29"/>
      <c r="H180" s="29"/>
      <c r="I180" s="29"/>
      <c r="J180" s="132" t="s">
        <v>221</v>
      </c>
      <c r="K180" s="133" t="s">
        <v>222</v>
      </c>
      <c r="L180" s="82"/>
      <c r="M180" s="24"/>
      <c r="N180" s="132" t="s">
        <v>221</v>
      </c>
      <c r="O180" s="133" t="s">
        <v>222</v>
      </c>
      <c r="P180" s="82"/>
      <c r="Q180" s="24"/>
      <c r="R180" s="132" t="s">
        <v>221</v>
      </c>
      <c r="S180" s="133" t="s">
        <v>222</v>
      </c>
      <c r="T180" s="82"/>
      <c r="U180" s="24"/>
      <c r="V180" s="132" t="s">
        <v>221</v>
      </c>
      <c r="W180" s="133" t="s">
        <v>222</v>
      </c>
      <c r="X180" s="82"/>
      <c r="Y180" s="24"/>
      <c r="Z180" s="132" t="s">
        <v>221</v>
      </c>
      <c r="AA180" s="133" t="s">
        <v>222</v>
      </c>
      <c r="AB180" s="24"/>
      <c r="AD180" s="51"/>
      <c r="AO180" s="7"/>
    </row>
    <row r="181" spans="2:41" s="5" customFormat="1" ht="15" customHeight="1" x14ac:dyDescent="0.25">
      <c r="F181" s="328" t="s">
        <v>358</v>
      </c>
      <c r="G181" s="328"/>
      <c r="H181" s="21"/>
      <c r="I181" s="29"/>
      <c r="J181" s="40" t="str">
        <f>IF(NOT(OR(COUNTIF(J99:J173,"FEHLER")&gt;=1,COUNTIF(J99:J173,"WERT?")&gt;=1)),IF(COUNTIF(J99:J173,"schlecht")&gt;=1,"schlecht",IF(COUNTIF(J99:J173,"mässig")&gt;=1,"mässig","gut")),"FEHLER")</f>
        <v>schlecht</v>
      </c>
      <c r="K181" s="40" t="str">
        <f>IF(J181="FEHLER","FEHLER",IF(COUNTIF(K100:K173,"schlecht*")&gt;=1,"schlecht",IF(COUNTIF(K100:K173,"mässig*")&gt;=1,"mässig",IF(COUNTIF(K100:K173,"gut*")&gt;=1,"gut",J181))))</f>
        <v>gut</v>
      </c>
      <c r="L181" s="34"/>
      <c r="M181" s="34"/>
      <c r="N181" s="40" t="str">
        <f>IF(NOT(OR(COUNTIF(N99:N173,"FEHLER")&gt;=1,COUNTIF(N99:N173,"WERT?")&gt;=1)),IF(COUNTIF(N99:N173,"schlecht")&gt;=1,"schlecht",IF(COUNTIF(N99:N173,"mässig")&gt;=1,"mässig","gut")),"FEHLER")</f>
        <v>schlecht</v>
      </c>
      <c r="O181" s="40" t="str">
        <f>IF(N181="FEHLER","FEHLER",IF(COUNTIF(O100:O173,"schlecht*")&gt;=1,"schlecht",IF(COUNTIF(O100:O173,"mässig*")&gt;=1,"mässig",IF(COUNTIF(O100:O173,"gut*")&gt;=1,"gut",N181))))</f>
        <v>schlecht</v>
      </c>
      <c r="P181" s="34"/>
      <c r="Q181" s="34"/>
      <c r="R181" s="40" t="str">
        <f>IF(NOT(OR(COUNTIF(R99:R173,"FEHLER")&gt;=1,COUNTIF(R99:R173,"WERT?")&gt;=1)),IF(COUNTIF(R99:R173,"schlecht")&gt;=1,"schlecht",IF(COUNTIF(R99:R173,"mässig")&gt;=1,"mässig","gut")),"FEHLER")</f>
        <v>schlecht</v>
      </c>
      <c r="S181" s="40" t="str">
        <f>IF(R181="FEHLER","FEHLER",IF(COUNTIF(S100:S173,"schlecht*")&gt;=1,"schlecht",IF(COUNTIF(S100:S173,"mässig*")&gt;=1,"mässig",IF(COUNTIF(S100:S173,"gut*")&gt;=1,"gut",R181))))</f>
        <v>schlecht</v>
      </c>
      <c r="T181" s="34"/>
      <c r="U181" s="34"/>
      <c r="V181" s="40" t="str">
        <f>IF(NOT(OR(COUNTIF(V99:V173,"FEHLER")&gt;=1,COUNTIF(V99:V173,"WERT?")&gt;=1)),IF(COUNTIF(V99:V173,"schlecht")&gt;=1,"schlecht",IF(COUNTIF(V99:V173,"mässig")&gt;=1,"mässig","gut")),"FEHLER")</f>
        <v>FEHLER</v>
      </c>
      <c r="W181" s="40" t="str">
        <f>IF(V181="FEHLER","FEHLER",IF(COUNTIF(W100:W173,"schlecht*")&gt;=1,"schlecht",IF(COUNTIF(W100:W173,"mässig*")&gt;=1,"mässig",IF(COUNTIF(W100:W173,"gut*")&gt;=1,"gut",V181))))</f>
        <v>FEHLER</v>
      </c>
      <c r="X181" s="34"/>
      <c r="Y181" s="34"/>
      <c r="Z181" s="40" t="str">
        <f>IF(NOT(OR(COUNTIF(Z99:Z173,"FEHLER")&gt;=1,COUNTIF(Z99:Z173,"WERT?")&gt;=1)),IF(COUNTIF(Z99:Z173,"schlecht")&gt;=1,"schlecht",IF(COUNTIF(Z99:Z173,"mässig")&gt;=1,"mässig","gut")),"FEHLER")</f>
        <v>FEHLER</v>
      </c>
      <c r="AA181" s="40" t="str">
        <f>IF(Z181="FEHLER","FEHLER",IF(COUNTIF(AA100:AA173,"schlecht*")&gt;=1,"schlecht",IF(COUNTIF(AA100:AA173,"mässig*")&gt;=1,"mässig",IF(COUNTIF(AA100:AA173,"gut*")&gt;=1,"gut",Z181))))</f>
        <v>FEHLER</v>
      </c>
      <c r="AB181" s="34"/>
      <c r="AD181" s="51"/>
      <c r="AO181" s="7"/>
    </row>
    <row r="182" spans="2:41" s="5" customFormat="1" ht="15" customHeight="1" x14ac:dyDescent="0.25">
      <c r="F182" s="327" t="s">
        <v>40</v>
      </c>
      <c r="G182" s="327"/>
      <c r="H182" s="183"/>
      <c r="I182" s="29"/>
      <c r="J182" s="40">
        <f>IF(J181="FEHLER","-",IF(J181="gut",3,IF(J181="mässig",2,1)))</f>
        <v>1</v>
      </c>
      <c r="K182" s="40">
        <f>IF(K181="FEHLER","-",IF(K181="gut",3,IF(K181="mässig",2,1)))</f>
        <v>3</v>
      </c>
      <c r="L182" s="34"/>
      <c r="M182" s="34"/>
      <c r="N182" s="40">
        <f>IF(N181="FEHLER","-",IF(N181="gut",3,IF(N181="mässig",2,1)))</f>
        <v>1</v>
      </c>
      <c r="O182" s="40">
        <f>IF(O181="FEHLER","-",IF(O181="gut",3,IF(O181="mässig",2,1)))</f>
        <v>1</v>
      </c>
      <c r="P182" s="34"/>
      <c r="Q182" s="34"/>
      <c r="R182" s="40">
        <f>IF(R181="FEHLER","-",IF(R181="gut",3,IF(R181="mässig",2,1)))</f>
        <v>1</v>
      </c>
      <c r="S182" s="40">
        <f>IF(S181="FEHLER","-",IF(S181="gut",3,IF(S181="mässig",2,1)))</f>
        <v>1</v>
      </c>
      <c r="T182" s="34"/>
      <c r="U182" s="34"/>
      <c r="V182" s="40" t="str">
        <f>IF(V181="FEHLER","-",IF(V181="gut",3,IF(V181="mässig",2,1)))</f>
        <v>-</v>
      </c>
      <c r="W182" s="40" t="str">
        <f>IF(W181="FEHLER","-",IF(W181="gut",3,IF(W181="mässig",2,1)))</f>
        <v>-</v>
      </c>
      <c r="X182" s="34"/>
      <c r="Y182" s="34"/>
      <c r="Z182" s="40" t="str">
        <f>IF(Z181="FEHLER","-",IF(Z181="gut",3,IF(Z181="mässig",2,1)))</f>
        <v>-</v>
      </c>
      <c r="AA182" s="40" t="str">
        <f>IF(AA181="FEHLER","-",IF(AA181="gut",3,IF(AA181="mässig",2,1)))</f>
        <v>-</v>
      </c>
      <c r="AB182" s="34"/>
      <c r="AD182" s="51"/>
      <c r="AO182" s="7"/>
    </row>
    <row r="183" spans="2:41" s="5" customFormat="1" ht="15" customHeight="1" x14ac:dyDescent="0.25">
      <c r="F183" s="29"/>
      <c r="G183" s="29"/>
      <c r="H183" s="29"/>
      <c r="I183" s="29"/>
      <c r="J183" s="34"/>
      <c r="K183" s="34"/>
      <c r="L183" s="34"/>
      <c r="M183" s="34"/>
      <c r="N183" s="34"/>
      <c r="O183" s="34"/>
      <c r="P183" s="34"/>
      <c r="Q183" s="34"/>
      <c r="R183" s="34"/>
      <c r="S183" s="34"/>
      <c r="T183" s="34"/>
      <c r="U183" s="34"/>
      <c r="V183" s="34"/>
      <c r="W183" s="34"/>
      <c r="X183" s="34"/>
      <c r="Y183" s="34"/>
      <c r="Z183" s="34"/>
      <c r="AA183" s="34"/>
      <c r="AB183" s="34"/>
      <c r="AD183" s="51"/>
      <c r="AO183" s="7"/>
    </row>
    <row r="184" spans="2:41" s="5" customFormat="1" ht="15" customHeight="1" x14ac:dyDescent="0.25">
      <c r="J184" s="1"/>
      <c r="K184" s="1"/>
      <c r="L184" s="1"/>
      <c r="M184" s="1"/>
      <c r="N184" s="1"/>
      <c r="O184" s="1"/>
      <c r="P184" s="1"/>
      <c r="Q184" s="1"/>
      <c r="R184" s="1"/>
      <c r="S184" s="1"/>
      <c r="T184" s="1"/>
      <c r="U184" s="1"/>
      <c r="V184" s="1"/>
      <c r="W184" s="1"/>
      <c r="X184" s="1"/>
      <c r="Y184" s="1"/>
      <c r="Z184" s="1"/>
      <c r="AA184" s="1"/>
      <c r="AB184" s="1"/>
      <c r="AD184" s="51"/>
      <c r="AO184" s="7"/>
    </row>
    <row r="185" spans="2:41" s="5" customFormat="1" ht="15" customHeight="1" x14ac:dyDescent="0.25">
      <c r="J185" s="1"/>
      <c r="K185" s="1"/>
      <c r="L185" s="1"/>
      <c r="M185" s="1"/>
      <c r="N185" s="1"/>
      <c r="O185" s="1"/>
      <c r="P185" s="1"/>
      <c r="Q185" s="1"/>
      <c r="R185" s="1"/>
      <c r="S185" s="1"/>
      <c r="T185" s="1"/>
      <c r="U185" s="1"/>
      <c r="V185" s="1"/>
      <c r="W185" s="1"/>
      <c r="X185" s="1"/>
      <c r="Y185" s="1"/>
      <c r="Z185" s="1"/>
      <c r="AA185" s="1"/>
      <c r="AB185" s="1"/>
      <c r="AD185" s="51"/>
      <c r="AO185" s="7"/>
    </row>
    <row r="186" spans="2:41" s="5" customFormat="1" ht="15" customHeight="1" x14ac:dyDescent="0.25">
      <c r="J186" s="1"/>
      <c r="K186" s="1"/>
      <c r="L186" s="1"/>
      <c r="M186" s="1"/>
      <c r="N186" s="1"/>
      <c r="O186" s="1"/>
      <c r="P186" s="1"/>
      <c r="Q186" s="1"/>
      <c r="R186" s="1"/>
      <c r="S186" s="1"/>
      <c r="T186" s="1"/>
      <c r="U186" s="1"/>
      <c r="V186" s="1"/>
      <c r="W186" s="1"/>
      <c r="X186" s="1"/>
      <c r="Y186" s="1"/>
      <c r="Z186" s="1"/>
      <c r="AA186" s="1"/>
      <c r="AB186" s="1"/>
      <c r="AD186" s="51"/>
      <c r="AO186" s="7"/>
    </row>
    <row r="187" spans="2:41" s="5" customFormat="1" ht="15" customHeight="1" x14ac:dyDescent="0.25">
      <c r="B187" s="323" t="s">
        <v>359</v>
      </c>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D187" s="51"/>
      <c r="AH187" s="310"/>
      <c r="AI187" s="310"/>
      <c r="AJ187" s="310"/>
      <c r="AK187" s="310"/>
      <c r="AL187" s="310"/>
      <c r="AO187" s="7"/>
    </row>
    <row r="188" spans="2:41" s="5" customFormat="1" ht="15" customHeight="1" x14ac:dyDescent="0.25">
      <c r="J188" s="1"/>
      <c r="K188" s="1"/>
      <c r="L188" s="1"/>
      <c r="M188" s="1"/>
      <c r="N188" s="1"/>
      <c r="O188" s="1"/>
      <c r="P188" s="1"/>
      <c r="Q188" s="1"/>
      <c r="R188" s="1"/>
      <c r="S188" s="1"/>
      <c r="T188" s="1"/>
      <c r="U188" s="1"/>
      <c r="V188" s="1"/>
      <c r="W188" s="1"/>
      <c r="X188" s="1"/>
      <c r="Y188" s="1"/>
      <c r="Z188" s="1"/>
      <c r="AA188" s="1"/>
      <c r="AB188" s="1"/>
      <c r="AD188" s="51"/>
      <c r="AF188" s="6"/>
      <c r="AH188" s="6"/>
      <c r="AO188" s="7"/>
    </row>
    <row r="189" spans="2:41" s="5" customFormat="1" ht="15" customHeight="1" x14ac:dyDescent="0.25">
      <c r="J189" s="1"/>
      <c r="K189" s="1"/>
      <c r="L189" s="1"/>
      <c r="M189" s="1"/>
      <c r="N189" s="1"/>
      <c r="O189" s="1"/>
      <c r="P189" s="1"/>
      <c r="Q189" s="1"/>
      <c r="R189" s="1"/>
      <c r="S189" s="1"/>
      <c r="T189" s="1"/>
      <c r="U189" s="1"/>
      <c r="V189" s="1"/>
      <c r="W189" s="1"/>
      <c r="X189" s="1"/>
      <c r="Y189" s="1"/>
      <c r="Z189" s="1"/>
      <c r="AA189" s="1"/>
      <c r="AB189" s="1"/>
      <c r="AD189" s="284" t="s">
        <v>44</v>
      </c>
      <c r="AH189" s="311"/>
      <c r="AI189" s="311"/>
      <c r="AJ189" s="311"/>
      <c r="AK189" s="311"/>
      <c r="AL189" s="311"/>
      <c r="AO189" s="7"/>
    </row>
    <row r="190" spans="2:41" s="5" customFormat="1" ht="15" customHeight="1" x14ac:dyDescent="0.25">
      <c r="C190" s="266" t="s">
        <v>473</v>
      </c>
      <c r="D190" s="266"/>
      <c r="E190" s="266"/>
      <c r="F190" s="266"/>
      <c r="G190" s="266"/>
      <c r="H190" s="266"/>
      <c r="I190" s="266"/>
      <c r="J190" s="18"/>
      <c r="K190" s="18"/>
      <c r="L190" s="18"/>
      <c r="M190" s="18"/>
      <c r="N190" s="18"/>
      <c r="O190" s="18"/>
      <c r="P190" s="18"/>
      <c r="Q190" s="18"/>
      <c r="R190" s="18"/>
      <c r="S190" s="18"/>
      <c r="T190" s="18"/>
      <c r="U190" s="18"/>
      <c r="V190" s="18"/>
      <c r="W190" s="18"/>
      <c r="X190" s="18"/>
      <c r="Y190" s="18"/>
      <c r="Z190" s="18"/>
      <c r="AA190" s="18"/>
      <c r="AB190" s="18"/>
      <c r="AD190" s="284"/>
      <c r="AF190" s="28"/>
      <c r="AG190" s="28"/>
      <c r="AH190" s="28"/>
      <c r="AI190" s="28"/>
      <c r="AJ190" s="28"/>
      <c r="AK190" s="28"/>
      <c r="AL190" s="28"/>
      <c r="AO190" s="7"/>
    </row>
    <row r="191" spans="2:41" s="5" customFormat="1" ht="15" customHeight="1" x14ac:dyDescent="0.25">
      <c r="C191" s="28"/>
      <c r="D191" s="321" t="s">
        <v>469</v>
      </c>
      <c r="E191" s="321"/>
      <c r="F191" s="321"/>
      <c r="G191" s="321"/>
      <c r="H191" s="181"/>
      <c r="I191" s="70"/>
      <c r="J191" s="316" t="str">
        <f>IF(ISBLANK('(3) Variantenbewertung'!$I$11),"",'(3) Variantenbewertung'!$I$11)</f>
        <v>V1</v>
      </c>
      <c r="K191" s="316"/>
      <c r="L191" s="18"/>
      <c r="M191" s="18"/>
      <c r="N191" s="316" t="str">
        <f>IF(ISBLANK('(3) Variantenbewertung'!$L$11),"",'(3) Variantenbewertung'!$L$11)</f>
        <v>V2</v>
      </c>
      <c r="O191" s="316"/>
      <c r="P191" s="18"/>
      <c r="Q191" s="18"/>
      <c r="R191" s="316" t="str">
        <f>IF(ISBLANK('(3) Variantenbewertung'!$O$11),"",'(3) Variantenbewertung'!$O$11)</f>
        <v>V3</v>
      </c>
      <c r="S191" s="316"/>
      <c r="T191" s="55"/>
      <c r="U191" s="18"/>
      <c r="V191" s="316" t="str">
        <f>IF(ISBLANK('(3) Variantenbewertung'!$R$11),"",'(3) Variantenbewertung'!$R$11)</f>
        <v/>
      </c>
      <c r="W191" s="316"/>
      <c r="X191" s="18"/>
      <c r="Y191" s="18"/>
      <c r="Z191" s="316" t="str">
        <f>IF(ISBLANK('(3) Variantenbewertung'!$U$11),"",'(3) Variantenbewertung'!$U$11)</f>
        <v/>
      </c>
      <c r="AA191" s="316"/>
      <c r="AB191" s="18"/>
      <c r="AD191" s="283" t="s">
        <v>224</v>
      </c>
      <c r="AF191" s="28"/>
      <c r="AG191" s="28"/>
      <c r="AH191" s="266"/>
      <c r="AI191" s="266"/>
      <c r="AJ191" s="266"/>
      <c r="AK191" s="266"/>
      <c r="AL191" s="266"/>
      <c r="AM191" s="10"/>
      <c r="AN191" s="10"/>
      <c r="AO191" s="19" t="s">
        <v>39</v>
      </c>
    </row>
    <row r="192" spans="2:41" s="5" customFormat="1" ht="15" customHeight="1" x14ac:dyDescent="0.25">
      <c r="C192" s="28"/>
      <c r="D192" s="321"/>
      <c r="E192" s="321"/>
      <c r="F192" s="321"/>
      <c r="G192" s="321"/>
      <c r="H192" s="181"/>
      <c r="I192" s="28"/>
      <c r="J192" s="132" t="s">
        <v>221</v>
      </c>
      <c r="K192" s="133" t="s">
        <v>222</v>
      </c>
      <c r="L192" s="126"/>
      <c r="M192" s="17"/>
      <c r="N192" s="132" t="s">
        <v>221</v>
      </c>
      <c r="O192" s="133" t="s">
        <v>222</v>
      </c>
      <c r="P192" s="126"/>
      <c r="Q192" s="17"/>
      <c r="R192" s="132" t="s">
        <v>221</v>
      </c>
      <c r="S192" s="133" t="s">
        <v>222</v>
      </c>
      <c r="T192" s="126"/>
      <c r="U192" s="17"/>
      <c r="V192" s="132" t="s">
        <v>221</v>
      </c>
      <c r="W192" s="133" t="s">
        <v>222</v>
      </c>
      <c r="X192" s="126"/>
      <c r="Y192" s="17"/>
      <c r="Z192" s="132" t="s">
        <v>221</v>
      </c>
      <c r="AA192" s="133" t="s">
        <v>222</v>
      </c>
      <c r="AB192" s="17"/>
      <c r="AD192" s="283"/>
      <c r="AF192" s="27"/>
      <c r="AG192" s="28"/>
      <c r="AH192" s="27"/>
      <c r="AI192" s="332"/>
      <c r="AJ192" s="332"/>
      <c r="AK192" s="332"/>
      <c r="AL192" s="332"/>
      <c r="AM192" s="7"/>
      <c r="AN192" s="7"/>
      <c r="AO192" s="7"/>
    </row>
    <row r="193" spans="3:50" s="5" customFormat="1" ht="15" customHeight="1" x14ac:dyDescent="0.25">
      <c r="C193" s="28"/>
      <c r="D193" s="28"/>
      <c r="E193" s="171"/>
      <c r="F193" s="28"/>
      <c r="G193" s="28"/>
      <c r="H193" s="28"/>
      <c r="I193" s="28"/>
      <c r="J193" s="25" t="s">
        <v>248</v>
      </c>
      <c r="K193" s="53" t="str">
        <f>IF(NOT(K206="keine Korrektur"),"Bitte begründen:","")</f>
        <v/>
      </c>
      <c r="L193" s="20"/>
      <c r="M193" s="20"/>
      <c r="N193" s="25" t="s">
        <v>248</v>
      </c>
      <c r="O193" s="53" t="str">
        <f>IF(NOT(O206="keine Korrektur"),"Bitte begründen:","")</f>
        <v/>
      </c>
      <c r="P193" s="20"/>
      <c r="Q193" s="20"/>
      <c r="R193" s="25" t="s">
        <v>248</v>
      </c>
      <c r="S193" s="53" t="str">
        <f>IF(NOT(S206="keine Korrektur"),"Bitte begründen:","")</f>
        <v/>
      </c>
      <c r="T193" s="20"/>
      <c r="U193" s="20"/>
      <c r="V193" s="25" t="s">
        <v>248</v>
      </c>
      <c r="W193" s="53" t="str">
        <f>IF(NOT(W206="keine Korrektur"),"Bitte begründen:","")</f>
        <v/>
      </c>
      <c r="X193" s="20"/>
      <c r="Y193" s="20"/>
      <c r="Z193" s="25" t="s">
        <v>248</v>
      </c>
      <c r="AA193" s="53" t="str">
        <f>IF(NOT(AA206="keine Korrektur"),"Bitte begründen:","")</f>
        <v/>
      </c>
      <c r="AB193" s="17"/>
      <c r="AD193" s="283"/>
      <c r="AF193" s="17"/>
      <c r="AG193" s="160" t="s">
        <v>252</v>
      </c>
      <c r="AH193" s="37" t="s">
        <v>15</v>
      </c>
      <c r="AI193" s="37" t="s">
        <v>8</v>
      </c>
      <c r="AJ193" s="37" t="s">
        <v>9</v>
      </c>
      <c r="AK193" s="37" t="s">
        <v>1</v>
      </c>
      <c r="AL193" s="37" t="s">
        <v>2</v>
      </c>
      <c r="AM193" s="2"/>
      <c r="AN193" s="2"/>
      <c r="AO193" s="23" t="s">
        <v>15</v>
      </c>
      <c r="AP193" s="23" t="s">
        <v>8</v>
      </c>
      <c r="AQ193" s="23"/>
      <c r="AR193" s="23" t="s">
        <v>9</v>
      </c>
      <c r="AS193" s="23"/>
      <c r="AT193" s="23" t="s">
        <v>1</v>
      </c>
      <c r="AU193" s="23"/>
      <c r="AV193" s="23" t="s">
        <v>2</v>
      </c>
      <c r="AW193" s="1"/>
      <c r="AX193" s="1"/>
    </row>
    <row r="194" spans="3:50" s="5" customFormat="1" ht="15" customHeight="1" x14ac:dyDescent="0.25">
      <c r="C194" s="28"/>
      <c r="D194" s="30"/>
      <c r="E194" s="322" t="s">
        <v>465</v>
      </c>
      <c r="F194" s="170" t="str">
        <f>IF('(1) Grundlagen'!$H$66="Bitte wählen","Bitte auf Blatt (1) Fischregion wählen","&lt; Bemessungswert")</f>
        <v>&lt; Bemessungswert</v>
      </c>
      <c r="G194" s="28"/>
      <c r="H194" s="28"/>
      <c r="I194" s="128" t="str">
        <f>IF('(3) Variantenbewertung'!I$26&lt;3,"DEAKTIVIERT",IF(OR(J$208="Bauweise wählen",J$209="Bauweise / Betriebsbedingungen wählen"),"FEHLER","&lt; "&amp;ROUND($AX$194*J$208*J$209,1)&amp;" m/s ("&amp;_xlfn.UNICHAR(8710)&amp;"h = "&amp;ROUND(($AX$194*J$208*J$209)^2/(2*9.81),2)&amp;" m)"))</f>
        <v>DEAKTIVIERT</v>
      </c>
      <c r="J194" s="223"/>
      <c r="K194" s="318"/>
      <c r="L194" s="20"/>
      <c r="M194" s="128" t="str">
        <f>IF('(3) Variantenbewertung'!L$26&lt;3,"DEAKTIVIERT",IF(OR(N$208="Bauweise wählen",N$209="Bauweise / Betriebsbedingungen wählen"),"FEHLER","&lt; "&amp;ROUND($AX$194*N$208*N$209,1)&amp;" m/s ("&amp;_xlfn.UNICHAR(8710)&amp;"h = "&amp;ROUND(($AX$194*N$208*N$209)^2/(2*9.81),2)&amp;" m)"))</f>
        <v>&lt; 1.8 m/s (∆h = 0.17 m)</v>
      </c>
      <c r="N194" s="223">
        <v>0.2</v>
      </c>
      <c r="O194" s="318"/>
      <c r="P194" s="20"/>
      <c r="Q194" s="128" t="str">
        <f>IF('(3) Variantenbewertung'!O$26&lt;3,"DEAKTIVIERT",IF(OR(R$208="Bauweise wählen",R$209="Bauweise / Betriebsbedingungen wählen"),"FEHLER","&lt; "&amp;ROUND($AX$194*R$208*R$209,1)&amp;" m/s ("&amp;_xlfn.UNICHAR(8710)&amp;"h = "&amp;ROUND(($AX$194*R$208*R$209)^2/(2*9.81),2)&amp;" m)"))</f>
        <v>DEAKTIVIERT</v>
      </c>
      <c r="R194" s="223"/>
      <c r="S194" s="318"/>
      <c r="T194" s="20"/>
      <c r="U194" s="128" t="str">
        <f>IF('(3) Variantenbewertung'!R$26&lt;3,"DEAKTIVIERT",IF(OR(V$208="Bauweise wählen",V$209="Bauweise / Betriebsbedingungen wählen"),"FEHLER","&lt; "&amp;ROUND($AX$194*V$208*V$209,1)&amp;" m/s ("&amp;_xlfn.UNICHAR(8710)&amp;"h = "&amp;ROUND(($AX$194*V$208*V$209)^2/(2*9.81),2)&amp;" m)"))</f>
        <v>FEHLER</v>
      </c>
      <c r="V194" s="223"/>
      <c r="W194" s="318"/>
      <c r="X194" s="20"/>
      <c r="Y194" s="128" t="str">
        <f>IF('(3) Variantenbewertung'!U$26&lt;3,"DEAKTIVIERT",IF(OR(Z$208="Bauweise wählen",Z$209="Bauweise / Betriebsbedingungen wählen"),"FEHLER","&lt; "&amp;ROUND($AX$194*Z$208*Z$209,1)&amp;" m/s ("&amp;_xlfn.UNICHAR(8710)&amp;"h = "&amp;ROUND(($AX$194*Z$208*Z$209)^2/(2*9.81),2)&amp;" m)"))</f>
        <v>FEHLER</v>
      </c>
      <c r="Z194" s="223"/>
      <c r="AA194" s="318"/>
      <c r="AB194" s="18"/>
      <c r="AD194" s="283"/>
      <c r="AF194" s="48"/>
      <c r="AG194" s="58" t="s">
        <v>10</v>
      </c>
      <c r="AH194" s="302" t="s">
        <v>16</v>
      </c>
      <c r="AI194" s="25" t="s">
        <v>13</v>
      </c>
      <c r="AJ194" s="25" t="s">
        <v>17</v>
      </c>
      <c r="AK194" s="25" t="s">
        <v>14</v>
      </c>
      <c r="AL194" s="25" t="s">
        <v>19</v>
      </c>
      <c r="AM194" s="9"/>
      <c r="AN194" s="9"/>
      <c r="AO194" s="60" t="s">
        <v>16</v>
      </c>
      <c r="AP194" s="159">
        <v>2.2000000000000002</v>
      </c>
      <c r="AQ194" s="57"/>
      <c r="AR194" s="159">
        <v>2.1</v>
      </c>
      <c r="AS194" s="57"/>
      <c r="AT194" s="159">
        <v>2</v>
      </c>
      <c r="AU194" s="57"/>
      <c r="AV194" s="159">
        <v>1.8</v>
      </c>
      <c r="AW194" s="1"/>
      <c r="AX194" s="22">
        <f>IF('(1) Grundlagen'!$H$66="Obere Forellenregion",AP194,IF('(1) Grundlagen'!$H$66="Untere Forellenregion",AR194,IF('(1) Grundlagen'!$H$66="Äschenregion",AT194,AV194)))</f>
        <v>2</v>
      </c>
    </row>
    <row r="195" spans="3:50" s="5" customFormat="1" ht="15" customHeight="1" x14ac:dyDescent="0.25">
      <c r="C195" s="28"/>
      <c r="D195" s="31"/>
      <c r="E195" s="259"/>
      <c r="F195" s="170" t="str">
        <f>IF('(1) Grundlagen'!$H$66="Bitte wählen","","Grenzwert bis Bemessungswert")</f>
        <v>Grenzwert bis Bemessungswert</v>
      </c>
      <c r="G195" s="28"/>
      <c r="H195" s="28"/>
      <c r="I195" s="128" t="str">
        <f>IF('(3) Variantenbewertung'!I$26&lt;3,"",IF(OR(J$208="Bauweise wählen",J$209="Bauweise / Betriebsbedingungen wählen"),"",ROUND($AX$194*J$208*J$209,1)&amp;" bis "&amp;$AX$194&amp;" m/s ("&amp;_xlfn.UNICHAR(8710)&amp;"h = "&amp;ROUND(($AX$194*J$208*J$209)^2/(2*9.81),2)&amp;" bis "&amp;ROUND(($AX$194)^2/(2*9.81),2)&amp;" m)"))</f>
        <v/>
      </c>
      <c r="J195" s="223"/>
      <c r="K195" s="319"/>
      <c r="L195" s="20"/>
      <c r="M195" s="128" t="str">
        <f>IF('(3) Variantenbewertung'!L$26&lt;3,"",IF(OR(N$208="Bauweise wählen",N$209="Bauweise / Betriebsbedingungen wählen"),"",ROUND($AX$194*N$208*N$209,1)&amp;" bis "&amp;$AX$194&amp;" m/s ("&amp;_xlfn.UNICHAR(8710)&amp;"h = "&amp;ROUND(($AX$194*N$208*N$209)^2/(2*9.81),2)&amp;" bis "&amp;ROUND(($AX$194)^2/(2*9.81),2)&amp;" m)"))</f>
        <v>1.8 bis 2 m/s (∆h = 0.17 bis 0.2 m)</v>
      </c>
      <c r="N195" s="223"/>
      <c r="O195" s="319"/>
      <c r="P195" s="20"/>
      <c r="Q195" s="128" t="str">
        <f>IF('(3) Variantenbewertung'!O$26&lt;3,"",IF(OR(R$208="Bauweise wählen",R$209="Bauweise / Betriebsbedingungen wählen"),"",ROUND($AX$194*R$208*R$209,1)&amp;" bis "&amp;$AX$194&amp;" m/s ("&amp;_xlfn.UNICHAR(8710)&amp;"h = "&amp;ROUND(($AX$194*R$208*R$209)^2/(2*9.81),2)&amp;" bis "&amp;ROUND(($AX$194)^2/(2*9.81),2)&amp;" m)"))</f>
        <v/>
      </c>
      <c r="R195" s="223"/>
      <c r="S195" s="319"/>
      <c r="T195" s="20"/>
      <c r="U195" s="128" t="str">
        <f>IF('(3) Variantenbewertung'!R$26&lt;3,"",IF(OR(V$208="Bauweise wählen",V$209="Bauweise / Betriebsbedingungen wählen"),"",ROUND($AX$194*V$208*V$209,1)&amp;" bis "&amp;$AX$194&amp;" m/s ("&amp;_xlfn.UNICHAR(8710)&amp;"h = "&amp;ROUND(($AX$194*V$208*V$209)^2/(2*9.81),2)&amp;" bis "&amp;ROUND(($AX$194)^2/(2*9.81),2)&amp;" m)"))</f>
        <v/>
      </c>
      <c r="V195" s="223"/>
      <c r="W195" s="319"/>
      <c r="X195" s="20"/>
      <c r="Y195" s="128" t="str">
        <f>IF('(3) Variantenbewertung'!U$26&lt;3,"",IF(OR(Z$208="Bauweise wählen",Z$209="Bauweise / Betriebsbedingungen wählen"),"",ROUND($AX$194*Z$208*Z$209,1)&amp;" bis "&amp;$AX$194&amp;" m/s ("&amp;_xlfn.UNICHAR(8710)&amp;"h = "&amp;ROUND(($AX$194*Z$208*Z$209)^2/(2*9.81),2)&amp;" bis "&amp;ROUND(($AX$194)^2/(2*9.81),2)&amp;" m)"))</f>
        <v/>
      </c>
      <c r="Z195" s="223"/>
      <c r="AA195" s="319"/>
      <c r="AB195" s="18"/>
      <c r="AD195" s="283"/>
      <c r="AF195" s="49"/>
      <c r="AG195" s="59" t="s">
        <v>42</v>
      </c>
      <c r="AH195" s="312"/>
      <c r="AI195" s="25" t="s">
        <v>88</v>
      </c>
      <c r="AJ195" s="25" t="s">
        <v>90</v>
      </c>
      <c r="AK195" s="25" t="s">
        <v>91</v>
      </c>
      <c r="AL195" s="25" t="s">
        <v>95</v>
      </c>
      <c r="AM195" s="11"/>
      <c r="AN195" s="11"/>
      <c r="AO195" s="60" t="s">
        <v>28</v>
      </c>
      <c r="AP195" s="159">
        <v>2.1</v>
      </c>
      <c r="AQ195" s="57"/>
      <c r="AR195" s="159">
        <v>2</v>
      </c>
      <c r="AS195" s="57"/>
      <c r="AT195" s="159">
        <v>1.9</v>
      </c>
      <c r="AU195" s="57"/>
      <c r="AV195" s="159">
        <v>1.7</v>
      </c>
      <c r="AW195" s="1"/>
      <c r="AX195" s="22">
        <f>IF('(1) Grundlagen'!$H$66="Obere Forellenregion",AP195,IF('(1) Grundlagen'!$H$66="Untere Forellenregion",AR195,IF('(1) Grundlagen'!$H$66="Äschenregion",AT195,AV195)))</f>
        <v>1.9</v>
      </c>
    </row>
    <row r="196" spans="3:50" s="5" customFormat="1" ht="15" customHeight="1" x14ac:dyDescent="0.25">
      <c r="C196" s="28"/>
      <c r="D196" s="32"/>
      <c r="E196" s="259"/>
      <c r="F196" s="170" t="str">
        <f>IF('(1) Grundlagen'!$H$66="Bitte wählen","","&gt; Grenzwert")</f>
        <v>&gt; Grenzwert</v>
      </c>
      <c r="G196" s="28"/>
      <c r="H196" s="28"/>
      <c r="I196" s="128" t="str">
        <f>IF('(3) Variantenbewertung'!I$26&lt;3,"",IF(OR(J$208="Bauweise wählen",J$209="Bauweise / Betriebsbedingungen wählen"),"","&gt; "&amp;$AX$194&amp;" m/s ("&amp;_xlfn.UNICHAR(8710)&amp;"h = "&amp;ROUND(($AX$194)^2/(2*9.81),2)&amp;" m)"))</f>
        <v/>
      </c>
      <c r="J196" s="223"/>
      <c r="K196" s="319"/>
      <c r="L196" s="20"/>
      <c r="M196" s="128" t="str">
        <f>IF('(3) Variantenbewertung'!L$26&lt;3,"",IF(OR(N$208="Bauweise wählen",N$209="Bauweise / Betriebsbedingungen wählen"),"","&gt; "&amp;$AX$194&amp;" m/s ("&amp;_xlfn.UNICHAR(8710)&amp;"h = "&amp;ROUND(($AX$194)^2/(2*9.81),2)&amp;" m)"))</f>
        <v>&gt; 2 m/s (∆h = 0.2 m)</v>
      </c>
      <c r="N196" s="223"/>
      <c r="O196" s="319"/>
      <c r="P196" s="20"/>
      <c r="Q196" s="128" t="str">
        <f>IF('(3) Variantenbewertung'!O$26&lt;3,"",IF(OR(R$208="Bauweise wählen",R$209="Bauweise / Betriebsbedingungen wählen"),"","&gt; "&amp;$AX$194&amp;" m/s ("&amp;_xlfn.UNICHAR(8710)&amp;"h = "&amp;ROUND(($AX$194)^2/(2*9.81),2)&amp;" m)"))</f>
        <v/>
      </c>
      <c r="R196" s="223"/>
      <c r="S196" s="319"/>
      <c r="T196" s="20"/>
      <c r="U196" s="128" t="str">
        <f>IF('(3) Variantenbewertung'!R$26&lt;3,"",IF(OR(V$208="Bauweise wählen",V$209="Bauweise / Betriebsbedingungen wählen"),"","&gt; "&amp;$AX$194&amp;" m/s ("&amp;_xlfn.UNICHAR(8710)&amp;"h = "&amp;ROUND(($AX$194)^2/(2*9.81),2)&amp;" m)"))</f>
        <v/>
      </c>
      <c r="V196" s="223"/>
      <c r="W196" s="319"/>
      <c r="X196" s="20"/>
      <c r="Y196" s="128" t="str">
        <f>IF('(3) Variantenbewertung'!U$26&lt;3,"",IF(OR(Z$208="Bauweise wählen",Z$209="Bauweise / Betriebsbedingungen wählen"),"","&gt; "&amp;$AX$194&amp;" m/s ("&amp;_xlfn.UNICHAR(8710)&amp;"h = "&amp;ROUND(($AX$194)^2/(2*9.81),2)&amp;" m)"))</f>
        <v/>
      </c>
      <c r="Z196" s="223"/>
      <c r="AA196" s="319"/>
      <c r="AB196" s="18"/>
      <c r="AD196" s="283"/>
      <c r="AF196" s="50"/>
      <c r="AG196" s="58" t="s">
        <v>43</v>
      </c>
      <c r="AH196" s="303"/>
      <c r="AI196" s="25" t="s">
        <v>87</v>
      </c>
      <c r="AJ196" s="25" t="s">
        <v>89</v>
      </c>
      <c r="AK196" s="25" t="s">
        <v>92</v>
      </c>
      <c r="AL196" s="25" t="s">
        <v>96</v>
      </c>
      <c r="AM196" s="9"/>
      <c r="AN196" s="9"/>
      <c r="AO196" s="60" t="s">
        <v>29</v>
      </c>
      <c r="AP196" s="159">
        <v>2</v>
      </c>
      <c r="AQ196" s="57"/>
      <c r="AR196" s="159">
        <v>1.9</v>
      </c>
      <c r="AS196" s="57"/>
      <c r="AT196" s="159">
        <v>1.8</v>
      </c>
      <c r="AU196" s="57"/>
      <c r="AV196" s="159">
        <v>1.6</v>
      </c>
      <c r="AW196" s="1"/>
      <c r="AX196" s="22">
        <f>IF('(1) Grundlagen'!$H$66="Obere Forellenregion",AP196,IF('(1) Grundlagen'!$H$66="Untere Forellenregion",AR196,IF('(1) Grundlagen'!$H$66="Äschenregion",AT196,AV196)))</f>
        <v>1.8</v>
      </c>
    </row>
    <row r="197" spans="3:50" s="5" customFormat="1" ht="15" customHeight="1" x14ac:dyDescent="0.25">
      <c r="C197" s="28"/>
      <c r="D197" s="30"/>
      <c r="E197" s="314" t="s">
        <v>466</v>
      </c>
      <c r="F197" s="170" t="str">
        <f>IF('(1) Grundlagen'!$H$66="Bitte wählen","Bitte auf Blatt (1) Fischregion wählen","&lt; Bemessungswert")</f>
        <v>&lt; Bemessungswert</v>
      </c>
      <c r="G197" s="28"/>
      <c r="H197" s="28"/>
      <c r="I197" s="128" t="str">
        <f>IF('(3) Variantenbewertung'!I$26&lt;3,"",IF(OR(J$208="Bauweise wählen",J$209="Bauweise / Betriebsbedingungen wählen"),"FEHLER","&lt; "&amp;ROUND($AX$195*J$208*J$209,1)&amp;" m/s ("&amp;_xlfn.UNICHAR(8710)&amp;"h = "&amp;ROUND(($AX$195*J$208*J$209)^2/(2*9.81),2)&amp;" m)"))</f>
        <v/>
      </c>
      <c r="J197" s="223"/>
      <c r="K197" s="319"/>
      <c r="L197" s="20"/>
      <c r="M197" s="128" t="str">
        <f>IF('(3) Variantenbewertung'!L$26&lt;3,"",IF(OR(N$208="Bauweise wählen",N$209="Bauweise / Betriebsbedingungen wählen"),"FEHLER","&lt; "&amp;ROUND($AX$195*N$208*N$209,1)&amp;" m/s ("&amp;_xlfn.UNICHAR(8710)&amp;"h = "&amp;ROUND(($AX$195*N$208*N$209)^2/(2*9.81),2)&amp;" m)"))</f>
        <v>&lt; 1.7 m/s (∆h = 0.15 m)</v>
      </c>
      <c r="N197" s="223"/>
      <c r="O197" s="319"/>
      <c r="P197" s="20"/>
      <c r="Q197" s="128" t="str">
        <f>IF('(3) Variantenbewertung'!O$26&lt;3,"",IF(OR(R$208="Bauweise wählen",R$209="Bauweise / Betriebsbedingungen wählen"),"FEHLER","&lt; "&amp;ROUND($AX$195*R$208*R$209,1)&amp;" m/s ("&amp;_xlfn.UNICHAR(8710)&amp;"h = "&amp;ROUND(($AX$195*R$208*R$209)^2/(2*9.81),2)&amp;" m)"))</f>
        <v/>
      </c>
      <c r="R197" s="223">
        <v>0.2</v>
      </c>
      <c r="S197" s="319"/>
      <c r="T197" s="20"/>
      <c r="U197" s="128" t="str">
        <f>IF('(3) Variantenbewertung'!R$26&lt;3,"",IF(OR(V$208="Bauweise wählen",V$209="Bauweise / Betriebsbedingungen wählen"),"FEHLER","&lt; "&amp;ROUND($AX$195*V$208*V$209,1)&amp;" m/s ("&amp;_xlfn.UNICHAR(8710)&amp;"h = "&amp;ROUND(($AX$195*V$208*V$209)^2/(2*9.81),2)&amp;" m)"))</f>
        <v>FEHLER</v>
      </c>
      <c r="V197" s="223"/>
      <c r="W197" s="319"/>
      <c r="X197" s="20"/>
      <c r="Y197" s="128" t="str">
        <f>IF('(3) Variantenbewertung'!U$26&lt;3,"",IF(OR(Z$208="Bauweise wählen",Z$209="Bauweise / Betriebsbedingungen wählen"),"FEHLER","&lt; "&amp;ROUND($AX$195*Z$208*Z$209,1)&amp;" m/s ("&amp;_xlfn.UNICHAR(8710)&amp;"h = "&amp;ROUND(($AX$195*Z$208*Z$209)^2/(2*9.81),2)&amp;" m)"))</f>
        <v>FEHLER</v>
      </c>
      <c r="Z197" s="223"/>
      <c r="AA197" s="319"/>
      <c r="AB197" s="18"/>
      <c r="AD197" s="283"/>
      <c r="AF197" s="48"/>
      <c r="AG197" s="58" t="s">
        <v>10</v>
      </c>
      <c r="AH197" s="302" t="s">
        <v>308</v>
      </c>
      <c r="AI197" s="25" t="s">
        <v>17</v>
      </c>
      <c r="AJ197" s="25" t="s">
        <v>14</v>
      </c>
      <c r="AK197" s="25" t="s">
        <v>18</v>
      </c>
      <c r="AL197" s="25" t="s">
        <v>97</v>
      </c>
      <c r="AM197" s="9"/>
      <c r="AN197" s="9"/>
      <c r="AO197" s="60" t="s">
        <v>30</v>
      </c>
      <c r="AP197" s="159">
        <v>1.9</v>
      </c>
      <c r="AQ197" s="57"/>
      <c r="AR197" s="159">
        <v>1.8</v>
      </c>
      <c r="AS197" s="57"/>
      <c r="AT197" s="159">
        <v>1.7</v>
      </c>
      <c r="AU197" s="57"/>
      <c r="AV197" s="159">
        <v>1.6</v>
      </c>
      <c r="AW197" s="1"/>
      <c r="AX197" s="22">
        <f>IF('(1) Grundlagen'!$H$66="Obere Forellenregion",AP197,IF('(1) Grundlagen'!$H$66="Untere Forellenregion",AR197,IF('(1) Grundlagen'!$H$66="Äschenregion",AT197,AV197)))</f>
        <v>1.7</v>
      </c>
    </row>
    <row r="198" spans="3:50" s="5" customFormat="1" ht="15" customHeight="1" x14ac:dyDescent="0.25">
      <c r="C198" s="28"/>
      <c r="D198" s="31"/>
      <c r="E198" s="259"/>
      <c r="F198" s="170" t="str">
        <f>IF('(1) Grundlagen'!$H$66="Bitte wählen","","Grenzwert bis Bemessungswert")</f>
        <v>Grenzwert bis Bemessungswert</v>
      </c>
      <c r="G198" s="28"/>
      <c r="H198" s="28"/>
      <c r="I198" s="128" t="str">
        <f>IF('(3) Variantenbewertung'!I$26&lt;3,"",IF(OR(J$208="Bauweise wählen",J$209="Bauweise / Betriebsbedingungen wählen"),"",ROUND($AX$195*J$208*J$209,1)&amp;" bis "&amp;$AX$195&amp;" m/s ("&amp;_xlfn.UNICHAR(8710)&amp;"h = "&amp;ROUND(($AX$195*J$208*J$209)^2/(2*9.81),2)&amp;" bis "&amp;ROUND(($AX$195)^2/(2*9.81),2)&amp;" m)"))</f>
        <v/>
      </c>
      <c r="J198" s="223"/>
      <c r="K198" s="319"/>
      <c r="L198" s="20"/>
      <c r="M198" s="128" t="str">
        <f>IF('(3) Variantenbewertung'!L$26&lt;3,"",IF(OR(N$208="Bauweise wählen",N$209="Bauweise / Betriebsbedingungen wählen"),"",ROUND($AX$195*N$208*N$209,1)&amp;" bis "&amp;$AX$195&amp;" m/s ("&amp;_xlfn.UNICHAR(8710)&amp;"h = "&amp;ROUND(($AX$195*N$208*N$209)^2/(2*9.81),2)&amp;" bis "&amp;ROUND(($AX$195)^2/(2*9.81),2)&amp;" m)"))</f>
        <v>1.7 bis 1.9 m/s (∆h = 0.15 bis 0.18 m)</v>
      </c>
      <c r="N198" s="223"/>
      <c r="O198" s="319"/>
      <c r="P198" s="20"/>
      <c r="Q198" s="128" t="str">
        <f>IF('(3) Variantenbewertung'!O$26&lt;3,"",IF(OR(R$208="Bauweise wählen",R$209="Bauweise / Betriebsbedingungen wählen"),"",ROUND($AX$195*R$208*R$209,1)&amp;" bis "&amp;$AX$195&amp;" m/s ("&amp;_xlfn.UNICHAR(8710)&amp;"h = "&amp;ROUND(($AX$195*R$208*R$209)^2/(2*9.81),2)&amp;" bis "&amp;ROUND(($AX$195)^2/(2*9.81),2)&amp;" m)"))</f>
        <v/>
      </c>
      <c r="R198" s="223"/>
      <c r="S198" s="319"/>
      <c r="T198" s="20"/>
      <c r="U198" s="128" t="str">
        <f>IF('(3) Variantenbewertung'!R$26&lt;3,"",IF(OR(V$208="Bauweise wählen",V$209="Bauweise / Betriebsbedingungen wählen"),"",ROUND($AX$195*V$208*V$209,1)&amp;" bis "&amp;$AX$195&amp;" m/s ("&amp;_xlfn.UNICHAR(8710)&amp;"h = "&amp;ROUND(($AX$195*V$208*V$209)^2/(2*9.81),2)&amp;" bis "&amp;ROUND(($AX$195)^2/(2*9.81),2)&amp;" m)"))</f>
        <v/>
      </c>
      <c r="V198" s="223"/>
      <c r="W198" s="319"/>
      <c r="X198" s="20"/>
      <c r="Y198" s="128" t="str">
        <f>IF('(3) Variantenbewertung'!U$26&lt;3,"",IF(OR(Z$208="Bauweise wählen",Z$209="Bauweise / Betriebsbedingungen wählen"),"",ROUND($AX$195*Z$208*Z$209,1)&amp;" bis "&amp;$AX$195&amp;" m/s ("&amp;_xlfn.UNICHAR(8710)&amp;"h = "&amp;ROUND(($AX$195*Z$208*Z$209)^2/(2*9.81),2)&amp;" bis "&amp;ROUND(($AX$195)^2/(2*9.81),2)&amp;" m)"))</f>
        <v/>
      </c>
      <c r="Z198" s="223"/>
      <c r="AA198" s="319"/>
      <c r="AB198" s="18"/>
      <c r="AD198" s="283"/>
      <c r="AF198" s="49"/>
      <c r="AG198" s="59" t="s">
        <v>42</v>
      </c>
      <c r="AH198" s="312"/>
      <c r="AI198" s="25" t="s">
        <v>90</v>
      </c>
      <c r="AJ198" s="25" t="s">
        <v>91</v>
      </c>
      <c r="AK198" s="25" t="s">
        <v>93</v>
      </c>
      <c r="AL198" s="25" t="s">
        <v>98</v>
      </c>
      <c r="AM198" s="11"/>
      <c r="AN198" s="11"/>
      <c r="AO198" s="158"/>
      <c r="AP198" s="148"/>
      <c r="AQ198" s="148"/>
      <c r="AR198" s="148"/>
      <c r="AS198" s="148"/>
      <c r="AT198" s="148"/>
      <c r="AU198" s="148"/>
      <c r="AV198" s="148"/>
      <c r="AW198" s="1"/>
      <c r="AX198" s="77"/>
    </row>
    <row r="199" spans="3:50" s="5" customFormat="1" ht="15" customHeight="1" x14ac:dyDescent="0.25">
      <c r="C199" s="28"/>
      <c r="D199" s="32"/>
      <c r="E199" s="259"/>
      <c r="F199" s="170" t="str">
        <f>IF('(1) Grundlagen'!$H$66="Bitte wählen","","&gt; Grenzwert")</f>
        <v>&gt; Grenzwert</v>
      </c>
      <c r="G199" s="28"/>
      <c r="H199" s="28"/>
      <c r="I199" s="128" t="str">
        <f>IF('(3) Variantenbewertung'!I$26&lt;3,"",IF(OR(J$208="Bauweise wählen",J$209="Bauweise / Betriebsbedingungen wählen"),"","&gt; "&amp;$AX$195&amp;" m/s ("&amp;_xlfn.UNICHAR(8710)&amp;"h = "&amp;ROUND(($AX$195)^2/(2*9.81),2)&amp;" m)"))</f>
        <v/>
      </c>
      <c r="J199" s="223"/>
      <c r="K199" s="319"/>
      <c r="L199" s="20"/>
      <c r="M199" s="128" t="str">
        <f>IF('(3) Variantenbewertung'!L$26&lt;3,"",IF(OR(N$208="Bauweise wählen",N$209="Bauweise / Betriebsbedingungen wählen"),"","&gt; "&amp;$AX$195&amp;" m/s ("&amp;_xlfn.UNICHAR(8710)&amp;"h = "&amp;ROUND(($AX$195)^2/(2*9.81),2)&amp;" m)"))</f>
        <v>&gt; 1.9 m/s (∆h = 0.18 m)</v>
      </c>
      <c r="N199" s="223"/>
      <c r="O199" s="319"/>
      <c r="P199" s="20"/>
      <c r="Q199" s="128" t="str">
        <f>IF('(3) Variantenbewertung'!O$26&lt;3,"",IF(OR(R$208="Bauweise wählen",R$209="Bauweise / Betriebsbedingungen wählen"),"","&gt; "&amp;$AX$195&amp;" m/s ("&amp;_xlfn.UNICHAR(8710)&amp;"h = "&amp;ROUND(($AX$195)^2/(2*9.81),2)&amp;" m)"))</f>
        <v/>
      </c>
      <c r="R199" s="223"/>
      <c r="S199" s="319"/>
      <c r="T199" s="20"/>
      <c r="U199" s="128" t="str">
        <f>IF('(3) Variantenbewertung'!R$26&lt;3,"",IF(OR(V$208="Bauweise wählen",V$209="Bauweise / Betriebsbedingungen wählen"),"","&gt; "&amp;$AX$195&amp;" m/s ("&amp;_xlfn.UNICHAR(8710)&amp;"h = "&amp;ROUND(($AX$195)^2/(2*9.81),2)&amp;" m)"))</f>
        <v/>
      </c>
      <c r="V199" s="223"/>
      <c r="W199" s="319"/>
      <c r="X199" s="20"/>
      <c r="Y199" s="128" t="str">
        <f>IF('(3) Variantenbewertung'!U$26&lt;3,"",IF(OR(Z$208="Bauweise wählen",Z$209="Bauweise / Betriebsbedingungen wählen"),"","&gt; "&amp;$AX$195&amp;" m/s ("&amp;_xlfn.UNICHAR(8710)&amp;"h = "&amp;ROUND(($AX$195)^2/(2*9.81),2)&amp;" m)"))</f>
        <v/>
      </c>
      <c r="Z199" s="223"/>
      <c r="AA199" s="319"/>
      <c r="AB199" s="18"/>
      <c r="AD199" s="283"/>
      <c r="AF199" s="50"/>
      <c r="AG199" s="58" t="s">
        <v>43</v>
      </c>
      <c r="AH199" s="303"/>
      <c r="AI199" s="25" t="s">
        <v>89</v>
      </c>
      <c r="AJ199" s="25" t="s">
        <v>92</v>
      </c>
      <c r="AK199" s="25" t="s">
        <v>94</v>
      </c>
      <c r="AL199" s="25" t="s">
        <v>99</v>
      </c>
      <c r="AM199" s="9"/>
      <c r="AN199" s="9"/>
      <c r="AO199" s="158"/>
      <c r="AP199" s="148"/>
      <c r="AQ199" s="148"/>
      <c r="AR199" s="148"/>
      <c r="AS199" s="148"/>
      <c r="AT199" s="148"/>
      <c r="AU199" s="148"/>
      <c r="AV199" s="148"/>
      <c r="AW199" s="1"/>
      <c r="AX199" s="77"/>
    </row>
    <row r="200" spans="3:50" s="5" customFormat="1" ht="15" customHeight="1" x14ac:dyDescent="0.25">
      <c r="C200" s="28"/>
      <c r="D200" s="30"/>
      <c r="E200" s="314" t="s">
        <v>467</v>
      </c>
      <c r="F200" s="170" t="str">
        <f>IF('(1) Grundlagen'!$H$66="Bitte wählen","Bitte auf Blatt (1) Fischregion wählen","&lt; Bemessungswert")</f>
        <v>&lt; Bemessungswert</v>
      </c>
      <c r="G200" s="28"/>
      <c r="H200" s="28"/>
      <c r="I200" s="128" t="str">
        <f>IF('(3) Variantenbewertung'!I$26&lt;3,"",IF(OR(J$208="Bauweise wählen",J$209="Bauweise / Betriebsbedingungen wählen"),"FEHLER","&lt; "&amp;ROUND($AX$196*J$208*J$209,1)&amp;" m/s ("&amp;_xlfn.UNICHAR(8710)&amp;"h = "&amp;ROUND(($AX$196*J$208*J$209)^2/(2*9.81),2)&amp;" m)"))</f>
        <v/>
      </c>
      <c r="J200" s="223"/>
      <c r="K200" s="319"/>
      <c r="L200" s="20"/>
      <c r="M200" s="128" t="str">
        <f>IF('(3) Variantenbewertung'!L$26&lt;3,"",IF(OR(N$208="Bauweise wählen",N$209="Bauweise / Betriebsbedingungen wählen"),"FEHLER","&lt; "&amp;ROUND($AX$196*N$208*N$209,1)&amp;" m/s ("&amp;_xlfn.UNICHAR(8710)&amp;"h = "&amp;ROUND(($AX$196*N$208*N$209)^2/(2*9.81),2)&amp;" m)"))</f>
        <v>&lt; 1.6 m/s (∆h = 0.13 m)</v>
      </c>
      <c r="N200" s="223"/>
      <c r="O200" s="319"/>
      <c r="P200" s="20"/>
      <c r="Q200" s="128" t="str">
        <f>IF('(3) Variantenbewertung'!O$26&lt;3,"",IF(OR(R$208="Bauweise wählen",R$209="Bauweise / Betriebsbedingungen wählen"),"FEHLER","&lt; "&amp;ROUND($AX$196*R$208*R$209,1)&amp;" m/s ("&amp;_xlfn.UNICHAR(8710)&amp;"h = "&amp;ROUND(($AX$196*R$208*R$209)^2/(2*9.81),2)&amp;" m)"))</f>
        <v/>
      </c>
      <c r="R200" s="223"/>
      <c r="S200" s="319"/>
      <c r="T200" s="20"/>
      <c r="U200" s="128" t="str">
        <f>IF('(3) Variantenbewertung'!R$26&lt;3,"",IF(OR(V$208="Bauweise wählen",V$209="Bauweise / Betriebsbedingungen wählen"),"FEHLER","&lt; "&amp;ROUND($AX$196*V$208*V$209,1)&amp;" m/s ("&amp;_xlfn.UNICHAR(8710)&amp;"h = "&amp;ROUND(($AX$196*V$208*V$209)^2/(2*9.81),2)&amp;" m)"))</f>
        <v>FEHLER</v>
      </c>
      <c r="V200" s="223"/>
      <c r="W200" s="319"/>
      <c r="X200" s="20"/>
      <c r="Y200" s="128" t="str">
        <f>IF('(3) Variantenbewertung'!U$26&lt;3,"",IF(OR(Z$208="Bauweise wählen",Z$209="Bauweise / Betriebsbedingungen wählen"),"FEHLER","&lt; "&amp;ROUND($AX$196*Z$208*Z$209,1)&amp;" m/s ("&amp;_xlfn.UNICHAR(8710)&amp;"h = "&amp;ROUND(($AX$196*Z$208*Z$209)^2/(2*9.81),2)&amp;" m)"))</f>
        <v>FEHLER</v>
      </c>
      <c r="Z200" s="223"/>
      <c r="AA200" s="319"/>
      <c r="AB200" s="18"/>
      <c r="AD200" s="283"/>
      <c r="AF200" s="48"/>
      <c r="AG200" s="58" t="s">
        <v>10</v>
      </c>
      <c r="AH200" s="302" t="s">
        <v>309</v>
      </c>
      <c r="AI200" s="25" t="s">
        <v>14</v>
      </c>
      <c r="AJ200" s="25" t="s">
        <v>18</v>
      </c>
      <c r="AK200" s="25" t="s">
        <v>19</v>
      </c>
      <c r="AL200" s="25" t="s">
        <v>100</v>
      </c>
      <c r="AM200" s="9"/>
      <c r="AN200" s="9"/>
      <c r="AO200" s="176"/>
      <c r="AP200" s="177"/>
      <c r="AQ200" s="148"/>
      <c r="AR200" s="148"/>
      <c r="AS200" s="148"/>
      <c r="AT200" s="148"/>
      <c r="AU200" s="148"/>
      <c r="AV200" s="148"/>
      <c r="AW200" s="1"/>
      <c r="AX200" s="77"/>
    </row>
    <row r="201" spans="3:50" s="5" customFormat="1" ht="15" customHeight="1" x14ac:dyDescent="0.25">
      <c r="C201" s="28"/>
      <c r="D201" s="31"/>
      <c r="E201" s="259"/>
      <c r="F201" s="170" t="str">
        <f>IF('(1) Grundlagen'!$H$66="Bitte wählen","","Grenzwert bis Bemessungswert")</f>
        <v>Grenzwert bis Bemessungswert</v>
      </c>
      <c r="G201" s="28"/>
      <c r="H201" s="28"/>
      <c r="I201" s="128" t="str">
        <f>IF('(3) Variantenbewertung'!I$26&lt;3,"",IF(OR(J$208="Bauweise wählen",J$209="Bauweise / Betriebsbedingungen wählen"),"",ROUND($AX$196*J$208*J$209,1)&amp;" bis "&amp;$AX$196&amp;" m/s ("&amp;_xlfn.UNICHAR(8710)&amp;"h = "&amp;ROUND(($AX$196*J$208*J$209)^2/(2*9.81),2)&amp;" bis "&amp;ROUND(($AX$196)^2/(2*9.81),2)&amp;" m)"))</f>
        <v/>
      </c>
      <c r="J201" s="223"/>
      <c r="K201" s="319"/>
      <c r="L201" s="20"/>
      <c r="M201" s="128" t="str">
        <f>IF('(3) Variantenbewertung'!L$26&lt;3,"",IF(OR(N$208="Bauweise wählen",N$209="Bauweise / Betriebsbedingungen wählen"),"",ROUND($AX$196*N$208*N$209,1)&amp;" bis "&amp;$AX$196&amp;" m/s ("&amp;_xlfn.UNICHAR(8710)&amp;"h = "&amp;ROUND(($AX$196*N$208*N$209)^2/(2*9.81),2)&amp;" bis "&amp;ROUND(($AX$196)^2/(2*9.81),2)&amp;" m)"))</f>
        <v>1.6 bis 1.8 m/s (∆h = 0.13 bis 0.17 m)</v>
      </c>
      <c r="N201" s="223"/>
      <c r="O201" s="319"/>
      <c r="P201" s="20"/>
      <c r="Q201" s="128" t="str">
        <f>IF('(3) Variantenbewertung'!O$26&lt;3,"",IF(OR(R$208="Bauweise wählen",R$209="Bauweise / Betriebsbedingungen wählen"),"",ROUND($AX$196*R$208*R$209,1)&amp;" bis "&amp;$AX$196&amp;" m/s ("&amp;_xlfn.UNICHAR(8710)&amp;"h = "&amp;ROUND(($AX$196*R$208*R$209)^2/(2*9.81),2)&amp;" bis "&amp;ROUND(($AX$196)^2/(2*9.81),2)&amp;" m)"))</f>
        <v/>
      </c>
      <c r="R201" s="223"/>
      <c r="S201" s="319"/>
      <c r="T201" s="20"/>
      <c r="U201" s="128" t="str">
        <f>IF('(3) Variantenbewertung'!R$26&lt;3,"",IF(OR(V$208="Bauweise wählen",V$209="Bauweise / Betriebsbedingungen wählen"),"",ROUND($AX$196*V$208*V$209,1)&amp;" bis "&amp;$AX$196&amp;" m/s ("&amp;_xlfn.UNICHAR(8710)&amp;"h = "&amp;ROUND(($AX$196*V$208*V$209)^2/(2*9.81),2)&amp;" bis "&amp;ROUND(($AX$196)^2/(2*9.81),2)&amp;" m)"))</f>
        <v/>
      </c>
      <c r="V201" s="223"/>
      <c r="W201" s="319"/>
      <c r="X201" s="20"/>
      <c r="Y201" s="128" t="str">
        <f>IF('(3) Variantenbewertung'!U$26&lt;3,"",IF(OR(Z$208="Bauweise wählen",Z$209="Bauweise / Betriebsbedingungen wählen"),"",ROUND($AX$196*Z$208*Z$209,1)&amp;" bis "&amp;$AX$196&amp;" m/s ("&amp;_xlfn.UNICHAR(8710)&amp;"h = "&amp;ROUND(($AX$196*Z$208*Z$209)^2/(2*9.81),2)&amp;" bis "&amp;ROUND(($AX$196)^2/(2*9.81),2)&amp;" m)"))</f>
        <v/>
      </c>
      <c r="Z201" s="223"/>
      <c r="AA201" s="319"/>
      <c r="AB201" s="18"/>
      <c r="AD201" s="283"/>
      <c r="AF201" s="49"/>
      <c r="AG201" s="59" t="s">
        <v>42</v>
      </c>
      <c r="AH201" s="312"/>
      <c r="AI201" s="25" t="s">
        <v>91</v>
      </c>
      <c r="AJ201" s="25" t="s">
        <v>93</v>
      </c>
      <c r="AK201" s="25" t="s">
        <v>95</v>
      </c>
      <c r="AL201" s="25" t="s">
        <v>101</v>
      </c>
      <c r="AM201" s="11"/>
      <c r="AN201" s="11"/>
      <c r="AO201" s="178"/>
      <c r="AP201" s="172"/>
      <c r="AQ201" s="148"/>
      <c r="AR201" s="148"/>
      <c r="AS201" s="148"/>
      <c r="AT201" s="148"/>
      <c r="AU201" s="148"/>
      <c r="AV201" s="148"/>
      <c r="AW201" s="1"/>
      <c r="AX201" s="77"/>
    </row>
    <row r="202" spans="3:50" s="5" customFormat="1" ht="15" customHeight="1" x14ac:dyDescent="0.25">
      <c r="C202" s="28"/>
      <c r="D202" s="32"/>
      <c r="E202" s="259"/>
      <c r="F202" s="170" t="str">
        <f>IF('(1) Grundlagen'!$H$66="Bitte wählen","","&gt; Grenzwert")</f>
        <v>&gt; Grenzwert</v>
      </c>
      <c r="G202" s="28"/>
      <c r="H202" s="28"/>
      <c r="I202" s="128" t="str">
        <f>IF('(3) Variantenbewertung'!I$26&lt;3,"",IF(OR(J$208="Bauweise wählen",J$209="Bauweise / Betriebsbedingungen wählen"),"","&gt; "&amp;$AX$196&amp;" m/s ("&amp;_xlfn.UNICHAR(8710)&amp;"h = "&amp;ROUND(($AX$196)^2/(2*9.81),2)&amp;" m)"))</f>
        <v/>
      </c>
      <c r="J202" s="223"/>
      <c r="K202" s="319"/>
      <c r="L202" s="20"/>
      <c r="M202" s="128" t="str">
        <f>IF('(3) Variantenbewertung'!L$26&lt;3,"",IF(OR(N$208="Bauweise wählen",N$209="Bauweise / Betriebsbedingungen wählen"),"","&gt; "&amp;$AX$196&amp;" m/s ("&amp;_xlfn.UNICHAR(8710)&amp;"h = "&amp;ROUND(($AX$196)^2/(2*9.81),2)&amp;" m)"))</f>
        <v>&gt; 1.8 m/s (∆h = 0.17 m)</v>
      </c>
      <c r="N202" s="223"/>
      <c r="O202" s="319"/>
      <c r="P202" s="20"/>
      <c r="Q202" s="128" t="str">
        <f>IF('(3) Variantenbewertung'!O$26&lt;3,"",IF(OR(R$208="Bauweise wählen",R$209="Bauweise / Betriebsbedingungen wählen"),"","&gt; "&amp;$AX$196&amp;" m/s ("&amp;_xlfn.UNICHAR(8710)&amp;"h = "&amp;ROUND(($AX$196)^2/(2*9.81),2)&amp;" m)"))</f>
        <v/>
      </c>
      <c r="R202" s="223"/>
      <c r="S202" s="319"/>
      <c r="T202" s="20"/>
      <c r="U202" s="128" t="str">
        <f>IF('(3) Variantenbewertung'!R$26&lt;3,"",IF(OR(V$208="Bauweise wählen",V$209="Bauweise / Betriebsbedingungen wählen"),"","&gt; "&amp;$AX$196&amp;" m/s ("&amp;_xlfn.UNICHAR(8710)&amp;"h = "&amp;ROUND(($AX$196)^2/(2*9.81),2)&amp;" m)"))</f>
        <v/>
      </c>
      <c r="V202" s="223"/>
      <c r="W202" s="319"/>
      <c r="X202" s="20"/>
      <c r="Y202" s="128" t="str">
        <f>IF('(3) Variantenbewertung'!U$26&lt;3,"",IF(OR(Z$208="Bauweise wählen",Z$209="Bauweise / Betriebsbedingungen wählen"),"","&gt; "&amp;$AX$196&amp;" m/s ("&amp;_xlfn.UNICHAR(8710)&amp;"h = "&amp;ROUND(($AX$196)^2/(2*9.81),2)&amp;" m)"))</f>
        <v/>
      </c>
      <c r="Z202" s="223"/>
      <c r="AA202" s="319"/>
      <c r="AB202" s="18"/>
      <c r="AD202" s="283"/>
      <c r="AF202" s="50"/>
      <c r="AG202" s="58" t="s">
        <v>43</v>
      </c>
      <c r="AH202" s="303"/>
      <c r="AI202" s="25" t="s">
        <v>92</v>
      </c>
      <c r="AJ202" s="25" t="s">
        <v>94</v>
      </c>
      <c r="AK202" s="25" t="s">
        <v>96</v>
      </c>
      <c r="AL202" s="25" t="s">
        <v>102</v>
      </c>
      <c r="AM202" s="9"/>
      <c r="AN202" s="9"/>
      <c r="AO202" s="178"/>
      <c r="AP202" s="172"/>
      <c r="AQ202" s="148"/>
      <c r="AR202" s="148"/>
      <c r="AS202" s="148"/>
      <c r="AT202" s="148"/>
      <c r="AU202" s="148"/>
      <c r="AV202" s="148"/>
      <c r="AW202" s="1"/>
      <c r="AX202" s="77"/>
    </row>
    <row r="203" spans="3:50" s="5" customFormat="1" ht="15" customHeight="1" x14ac:dyDescent="0.25">
      <c r="C203" s="28"/>
      <c r="D203" s="30"/>
      <c r="E203" s="314" t="s">
        <v>468</v>
      </c>
      <c r="F203" s="170" t="str">
        <f>IF('(1) Grundlagen'!$H$66="Bitte wählen","Bitte auf Blatt (1) Fischregion wählen","&lt; Bemessungswert")</f>
        <v>&lt; Bemessungswert</v>
      </c>
      <c r="G203" s="28"/>
      <c r="H203" s="28"/>
      <c r="I203" s="128" t="str">
        <f>IF('(3) Variantenbewertung'!I$26&lt;3,"",IF(OR(J$208="Bauweise wählen",J$209="Bauweise / Betriebsbedingungen wählen"),"FEHLER","&lt; "&amp;ROUND($AX$197*J$208*J$209,1)&amp;" m/s ("&amp;_xlfn.UNICHAR(8710)&amp;"h = "&amp;ROUND(($AX$197*J$208*J$209)^2/(2*9.81),2)&amp;" m)"))</f>
        <v/>
      </c>
      <c r="J203" s="223">
        <v>1.4</v>
      </c>
      <c r="K203" s="319"/>
      <c r="L203" s="20"/>
      <c r="M203" s="128" t="str">
        <f>IF('(3) Variantenbewertung'!L$26&lt;3,"",IF(OR(N$208="Bauweise wählen",N$209="Bauweise / Betriebsbedingungen wählen"),"FEHLER","&lt; "&amp;ROUND($AX$197*N$208*N$209,1)&amp;" m/s ("&amp;_xlfn.UNICHAR(8710)&amp;"h = "&amp;ROUND(($AX$197*N$208*N$209)^2/(2*9.81),2)&amp;" m)"))</f>
        <v>&lt; 1.5 m/s (∆h = 0.12 m)</v>
      </c>
      <c r="N203" s="223"/>
      <c r="O203" s="319"/>
      <c r="P203" s="20"/>
      <c r="Q203" s="128" t="str">
        <f>IF('(3) Variantenbewertung'!O$26&lt;3,"",IF(OR(R$208="Bauweise wählen",R$209="Bauweise / Betriebsbedingungen wählen"),"FEHLER","&lt; "&amp;ROUND($AX$197*R$208*R$209,1)&amp;" m/s ("&amp;_xlfn.UNICHAR(8710)&amp;"h = "&amp;ROUND(($AX$197*R$208*R$209)^2/(2*9.81),2)&amp;" m)"))</f>
        <v/>
      </c>
      <c r="R203" s="223"/>
      <c r="S203" s="319"/>
      <c r="T203" s="20"/>
      <c r="U203" s="128" t="str">
        <f>IF('(3) Variantenbewertung'!R$26&lt;3,"",IF(OR(V$208="Bauweise wählen",V$209="Bauweise / Betriebsbedingungen wählen"),"FEHLER","&lt; "&amp;ROUND($AX$197*V$208*V$209,1)&amp;" m/s ("&amp;_xlfn.UNICHAR(8710)&amp;"h = "&amp;ROUND(($AX$197*V$208*V$209)^2/(2*9.81),2)&amp;" m)"))</f>
        <v>FEHLER</v>
      </c>
      <c r="V203" s="223"/>
      <c r="W203" s="319"/>
      <c r="X203" s="20"/>
      <c r="Y203" s="128" t="str">
        <f>IF('(3) Variantenbewertung'!U$26&lt;3,"",IF(OR(Z$208="Bauweise wählen",Z$209="Bauweise / Betriebsbedingungen wählen"),"FEHLER","&lt; "&amp;ROUND($AX$197*Z$208*Z$209,1)&amp;" m/s ("&amp;_xlfn.UNICHAR(8710)&amp;"h = "&amp;ROUND(($AX$197*Z$208*Z$209)^2/(2*9.81),2)&amp;" m)"))</f>
        <v>FEHLER</v>
      </c>
      <c r="Z203" s="223"/>
      <c r="AA203" s="319"/>
      <c r="AB203" s="18"/>
      <c r="AD203" s="283"/>
      <c r="AF203" s="48"/>
      <c r="AG203" s="58" t="s">
        <v>10</v>
      </c>
      <c r="AH203" s="302" t="s">
        <v>30</v>
      </c>
      <c r="AI203" s="25" t="s">
        <v>18</v>
      </c>
      <c r="AJ203" s="25" t="s">
        <v>19</v>
      </c>
      <c r="AK203" s="25" t="s">
        <v>97</v>
      </c>
      <c r="AL203" s="25" t="s">
        <v>100</v>
      </c>
      <c r="AM203" s="9"/>
      <c r="AN203" s="9"/>
      <c r="AO203" s="178"/>
      <c r="AP203" s="172"/>
      <c r="AQ203" s="148"/>
      <c r="AR203" s="148"/>
      <c r="AS203" s="148"/>
      <c r="AT203" s="148"/>
      <c r="AU203" s="148"/>
      <c r="AV203" s="148"/>
      <c r="AW203" s="1"/>
      <c r="AX203" s="77"/>
    </row>
    <row r="204" spans="3:50" s="5" customFormat="1" ht="15" customHeight="1" x14ac:dyDescent="0.25">
      <c r="C204" s="28"/>
      <c r="D204" s="31"/>
      <c r="E204" s="259"/>
      <c r="F204" s="170" t="str">
        <f>IF('(1) Grundlagen'!$H$66="Bitte wählen","","Grenzwert bis Bemessungswert")</f>
        <v>Grenzwert bis Bemessungswert</v>
      </c>
      <c r="G204" s="28"/>
      <c r="H204" s="28"/>
      <c r="I204" s="128" t="str">
        <f>IF('(3) Variantenbewertung'!I$26&lt;3,"",IF(OR(J$208="Bauweise wählen",J$209="Bauweise / Betriebsbedingungen wählen"),"",ROUND($AX$197*J$208*J$209,1)&amp;" bis "&amp;$AX$197&amp;" m/s ("&amp;_xlfn.UNICHAR(8710)&amp;"h = "&amp;ROUND(($AX$197*J$208*J$209)^2/(2*9.81),2)&amp;" bis "&amp;ROUND(($AX$197)^2/(2*9.81),2)&amp;" m)"))</f>
        <v/>
      </c>
      <c r="J204" s="223"/>
      <c r="K204" s="319"/>
      <c r="L204" s="20"/>
      <c r="M204" s="128" t="str">
        <f>IF('(3) Variantenbewertung'!L$26&lt;3,"",IF(OR(N$208="Bauweise wählen",N$209="Bauweise / Betriebsbedingungen wählen"),"",ROUND($AX$197*N$208*N$209,1)&amp;" bis "&amp;$AX$197&amp;" m/s ("&amp;_xlfn.UNICHAR(8710)&amp;"h = "&amp;ROUND(($AX$197*N$208*N$209)^2/(2*9.81),2)&amp;" bis "&amp;ROUND(($AX$197)^2/(2*9.81),2)&amp;" m)"))</f>
        <v>1.5 bis 1.7 m/s (∆h = 0.12 bis 0.15 m)</v>
      </c>
      <c r="N204" s="223"/>
      <c r="O204" s="319"/>
      <c r="P204" s="20"/>
      <c r="Q204" s="128" t="str">
        <f>IF('(3) Variantenbewertung'!O$26&lt;3,"",IF(OR(R$208="Bauweise wählen",R$209="Bauweise / Betriebsbedingungen wählen"),"",ROUND($AX$197*R$208*R$209,1)&amp;" bis "&amp;$AX$197&amp;" m/s ("&amp;_xlfn.UNICHAR(8710)&amp;"h = "&amp;ROUND(($AX$197*R$208*R$209)^2/(2*9.81),2)&amp;" bis "&amp;ROUND(($AX$197)^2/(2*9.81),2)&amp;" m)"))</f>
        <v/>
      </c>
      <c r="R204" s="223"/>
      <c r="S204" s="319"/>
      <c r="T204" s="20"/>
      <c r="U204" s="128" t="str">
        <f>IF('(3) Variantenbewertung'!R$26&lt;3,"",IF(OR(V$208="Bauweise wählen",V$209="Bauweise / Betriebsbedingungen wählen"),"",ROUND($AX$197*V$208*V$209,1)&amp;" bis "&amp;$AX$197&amp;" m/s ("&amp;_xlfn.UNICHAR(8710)&amp;"h = "&amp;ROUND(($AX$197*V$208*V$209)^2/(2*9.81),2)&amp;" bis "&amp;ROUND(($AX$197)^2/(2*9.81),2)&amp;" m)"))</f>
        <v/>
      </c>
      <c r="V204" s="223"/>
      <c r="W204" s="319"/>
      <c r="X204" s="20"/>
      <c r="Y204" s="128" t="str">
        <f>IF('(3) Variantenbewertung'!U$26&lt;3,"",IF(OR(Z$208="Bauweise wählen",Z$209="Bauweise / Betriebsbedingungen wählen"),"",ROUND($AX$197*Z$208*Z$209,1)&amp;" bis "&amp;$AX$197&amp;" m/s ("&amp;_xlfn.UNICHAR(8710)&amp;"h = "&amp;ROUND(($AX$197*Z$208*Z$209)^2/(2*9.81),2)&amp;" bis "&amp;ROUND(($AX$197)^2/(2*9.81),2)&amp;" m)"))</f>
        <v/>
      </c>
      <c r="Z204" s="223"/>
      <c r="AA204" s="319"/>
      <c r="AB204" s="18"/>
      <c r="AD204" s="283"/>
      <c r="AF204" s="49"/>
      <c r="AG204" s="59" t="s">
        <v>42</v>
      </c>
      <c r="AH204" s="312"/>
      <c r="AI204" s="25" t="s">
        <v>93</v>
      </c>
      <c r="AJ204" s="25" t="s">
        <v>95</v>
      </c>
      <c r="AK204" s="25" t="s">
        <v>98</v>
      </c>
      <c r="AL204" s="25" t="s">
        <v>101</v>
      </c>
      <c r="AM204" s="11"/>
      <c r="AN204" s="11"/>
      <c r="AO204" s="179"/>
      <c r="AP204" s="172"/>
      <c r="AQ204" s="148"/>
      <c r="AR204" s="148"/>
      <c r="AS204" s="148"/>
      <c r="AT204" s="148"/>
      <c r="AU204" s="148"/>
      <c r="AV204" s="148"/>
      <c r="AW204" s="1"/>
      <c r="AX204" s="77"/>
    </row>
    <row r="205" spans="3:50" s="5" customFormat="1" ht="15" customHeight="1" x14ac:dyDescent="0.25">
      <c r="C205" s="28"/>
      <c r="D205" s="32"/>
      <c r="E205" s="259"/>
      <c r="F205" s="170" t="str">
        <f>IF('(1) Grundlagen'!$H$66="Bitte wählen","","&gt; Grenzwert")</f>
        <v>&gt; Grenzwert</v>
      </c>
      <c r="G205" s="28"/>
      <c r="H205" s="28"/>
      <c r="I205" s="128" t="str">
        <f>IF('(3) Variantenbewertung'!I$26&lt;3,"",IF(OR(J$208="Bauweise wählen",J$209="Bauweise / Betriebsbedingungen wählen"),"","&gt; "&amp;$AX$197&amp;" m/s ("&amp;_xlfn.UNICHAR(8710)&amp;"h = "&amp;ROUND(($AX$197)^2/(2*9.81),2)&amp;" m)"))</f>
        <v/>
      </c>
      <c r="J205" s="223"/>
      <c r="K205" s="320"/>
      <c r="L205" s="20"/>
      <c r="M205" s="128" t="str">
        <f>IF('(3) Variantenbewertung'!L$26&lt;3,"",IF(OR(N$208="Bauweise wählen",N$209="Bauweise / Betriebsbedingungen wählen"),"","&gt; "&amp;$AX$197&amp;" m/s ("&amp;_xlfn.UNICHAR(8710)&amp;"h = "&amp;ROUND(($AX$197)^2/(2*9.81),2)&amp;" m)"))</f>
        <v>&gt; 1.7 m/s (∆h = 0.15 m)</v>
      </c>
      <c r="N205" s="223"/>
      <c r="O205" s="320"/>
      <c r="P205" s="20"/>
      <c r="Q205" s="128" t="str">
        <f>IF('(3) Variantenbewertung'!O$26&lt;3,"",IF(OR(R$208="Bauweise wählen",R$209="Bauweise / Betriebsbedingungen wählen"),"","&gt; "&amp;$AX$197&amp;" m/s ("&amp;_xlfn.UNICHAR(8710)&amp;"h = "&amp;ROUND(($AX$197)^2/(2*9.81),2)&amp;" m)"))</f>
        <v/>
      </c>
      <c r="R205" s="223"/>
      <c r="S205" s="320"/>
      <c r="T205" s="20"/>
      <c r="U205" s="128" t="str">
        <f>IF('(3) Variantenbewertung'!R$26&lt;3,"",IF(OR(V$208="Bauweise wählen",V$209="Bauweise / Betriebsbedingungen wählen"),"","&gt; "&amp;$AX$197&amp;" m/s ("&amp;_xlfn.UNICHAR(8710)&amp;"h = "&amp;ROUND(($AX$197)^2/(2*9.81),2)&amp;" m)"))</f>
        <v/>
      </c>
      <c r="V205" s="223"/>
      <c r="W205" s="320"/>
      <c r="X205" s="20"/>
      <c r="Y205" s="128" t="str">
        <f>IF('(3) Variantenbewertung'!U$26&lt;3,"",IF(OR(Z$208="Bauweise wählen",Z$209="Bauweise / Betriebsbedingungen wählen"),"","&gt; "&amp;$AX$197&amp;" m/s ("&amp;_xlfn.UNICHAR(8710)&amp;"h = "&amp;ROUND(($AX$197)^2/(2*9.81),2)&amp;" m)"))</f>
        <v/>
      </c>
      <c r="Z205" s="223"/>
      <c r="AA205" s="320"/>
      <c r="AB205" s="18"/>
      <c r="AD205" s="283"/>
      <c r="AF205" s="50"/>
      <c r="AG205" s="58" t="s">
        <v>43</v>
      </c>
      <c r="AH205" s="303"/>
      <c r="AI205" s="25" t="s">
        <v>94</v>
      </c>
      <c r="AJ205" s="25" t="s">
        <v>96</v>
      </c>
      <c r="AK205" s="25" t="s">
        <v>99</v>
      </c>
      <c r="AL205" s="25" t="s">
        <v>102</v>
      </c>
      <c r="AM205" s="9"/>
      <c r="AN205" s="9"/>
      <c r="AO205" s="158"/>
      <c r="AP205" s="148"/>
      <c r="AQ205" s="148"/>
      <c r="AR205" s="148"/>
      <c r="AS205" s="148"/>
      <c r="AT205" s="148"/>
      <c r="AU205" s="148"/>
      <c r="AV205" s="148"/>
      <c r="AW205" s="1"/>
      <c r="AX205" s="77"/>
    </row>
    <row r="206" spans="3:50" s="5" customFormat="1" ht="15" customHeight="1" x14ac:dyDescent="0.25">
      <c r="C206" s="28"/>
      <c r="D206" s="28"/>
      <c r="E206" s="28"/>
      <c r="F206" s="28"/>
      <c r="G206" s="28"/>
      <c r="H206" s="28"/>
      <c r="I206" s="28"/>
      <c r="J206" s="25" t="str">
        <f>IF(I194="DEAKTIVIERT","",IF('(1) Grundlagen'!$H$66="Bitte wählen","FEHLER",IF(COUNT(J194:J205)&lt;&gt;1,"WERT?",IF(I$194="FEHLER","FEHLER",IF(ISNUMBER(J194),IF(J194&lt;=ROUND($AX$194*J$225*J$226,1),"gut",IF(AND(J194&gt;ROUND($AX$194*J$225*J$226,1),J194&lt;=$AX$194),"mässig","schlecht")),IF(ISNUMBER(J197),IF(J197&lt;=ROUND($AX$195*J$225*J$226,1),"gut",IF(AND(J197&gt;ROUND($AX$195*J$225*J$226,1),J197&lt;=$AX$195),"mässig","schlecht")),IF(ISNUMBER(J200),IF(J200&lt;=ROUND($AX$196*J$225*J$226,1),"gut",IF(AND(J200&gt;ROUND($AX$196*J$225*J$226,1),J200&lt;=$AX$196),"mässig","schlecht")),IF(J203&lt;=ROUND($AX$197*J$225*J$226,1),"gut",IF(AND(J203&gt;ROUND($AX$197*J$225*J$226,1),J203&lt;=$AX$197),"mässig","schlecht")))))))))</f>
        <v/>
      </c>
      <c r="K206" s="99" t="s">
        <v>45</v>
      </c>
      <c r="L206" s="20"/>
      <c r="M206" s="18"/>
      <c r="N206" s="25" t="str">
        <f>IF(M194="DEAKTIVIERT","",IF('(1) Grundlagen'!$H$66="Bitte wählen","FEHLER",IF(COUNT(N194:N205)&lt;&gt;1,"WERT?",IF(M$194="FEHLER","FEHLER",IF(ISNUMBER(N194),IF(N194&lt;=ROUND($AX$194*N$225*N$226,1),"gut",IF(AND(N194&gt;ROUND($AX$194*N$225*N$226,1),N194&lt;=$AX$194),"mässig","schlecht")),IF(ISNUMBER(N197),IF(N197&lt;=ROUND($AX$195*N$225*N$226,1),"gut",IF(AND(N197&gt;ROUND($AX$195*N$225*N$226,1),N197&lt;=$AX$195),"mässig","schlecht")),IF(ISNUMBER(N200),IF(N200&lt;=ROUND($AX$196*N$225*N$226,1),"gut",IF(AND(N200&gt;ROUND($AX$196*N$225*N$226,1),N200&lt;=$AX$196),"mässig","schlecht")),IF(N203&lt;=ROUND($AX$197*N$225*N$226,1),"gut",IF(AND(N203&gt;ROUND($AX$197*N$225*N$226,1),N203&lt;=$AX$197),"mässig","schlecht")))))))))</f>
        <v>gut</v>
      </c>
      <c r="O206" s="99" t="s">
        <v>45</v>
      </c>
      <c r="P206" s="20"/>
      <c r="Q206" s="18"/>
      <c r="R206" s="25" t="str">
        <f>IF(Q194="DEAKTIVIERT","",IF('(1) Grundlagen'!$H$66="Bitte wählen","FEHLER",IF(COUNT(R194:R205)&lt;&gt;1,"WERT?",IF(Q$194="FEHLER","FEHLER",IF(ISNUMBER(R194),IF(R194&lt;=ROUND($AX$194*R$225*R$226,1),"gut",IF(AND(R194&gt;ROUND($AX$194*R$225*R$226,1),R194&lt;=$AX$194),"mässig","schlecht")),IF(ISNUMBER(R197),IF(R197&lt;=ROUND($AX$195*R$225*R$226,1),"gut",IF(AND(R197&gt;ROUND($AX$195*R$225*R$226,1),R197&lt;=$AX$195),"mässig","schlecht")),IF(ISNUMBER(R200),IF(R200&lt;=ROUND($AX$196*R$225*R$226,1),"gut",IF(AND(R200&gt;ROUND($AX$196*R$225*R$226,1),R200&lt;=$AX$196),"mässig","schlecht")),IF(R203&lt;=ROUND($AX$197*R$225*R$226,1),"gut",IF(AND(R203&gt;ROUND($AX$197*R$225*R$226,1),R203&lt;=$AX$197),"mässig","schlecht")))))))))</f>
        <v/>
      </c>
      <c r="S206" s="99" t="s">
        <v>45</v>
      </c>
      <c r="T206" s="20"/>
      <c r="U206" s="18"/>
      <c r="V206" s="25" t="str">
        <f>IF(U194="DEAKTIVIERT","",IF('(1) Grundlagen'!$H$66="Bitte wählen","FEHLER",IF(COUNT(V194:V205)&lt;&gt;1,"WERT?",IF(U$194="FEHLER","FEHLER",IF(ISNUMBER(V194),IF(V194&lt;=ROUND($AX$194*V$225*V$226,1),"gut",IF(AND(V194&gt;ROUND($AX$194*V$225*V$226,1),V194&lt;=$AX$194),"mässig","schlecht")),IF(ISNUMBER(V197),IF(V197&lt;=ROUND($AX$195*V$225*V$226,1),"gut",IF(AND(V197&gt;ROUND($AX$195*V$225*V$226,1),V197&lt;=$AX$195),"mässig","schlecht")),IF(ISNUMBER(V200),IF(V200&lt;=ROUND($AX$196*V$225*V$226,1),"gut",IF(AND(V200&gt;ROUND($AX$196*V$225*V$226,1),V200&lt;=$AX$196),"mässig","schlecht")),IF(V203&lt;=ROUND($AX$197*V$225*V$226,1),"gut",IF(AND(V203&gt;ROUND($AX$197*V$225*V$226,1),V203&lt;=$AX$197),"mässig","schlecht")))))))))</f>
        <v>WERT?</v>
      </c>
      <c r="W206" s="99" t="s">
        <v>45</v>
      </c>
      <c r="X206" s="20"/>
      <c r="Y206" s="18"/>
      <c r="Z206" s="25" t="str">
        <f>IF(Y194="DEAKTIVIERT","",IF('(1) Grundlagen'!$H$66="Bitte wählen","FEHLER",IF(COUNT(Z194:Z205)&lt;&gt;1,"WERT?",IF(Y$194="FEHLER","FEHLER",IF(ISNUMBER(Z194),IF(Z194&lt;=ROUND($AX$194*Z$225*Z$226,1),"gut",IF(AND(Z194&gt;ROUND($AX$194*Z$225*Z$226,1),Z194&lt;=$AX$194),"mässig","schlecht")),IF(ISNUMBER(Z197),IF(Z197&lt;=ROUND($AX$195*Z$225*Z$226,1),"gut",IF(AND(Z197&gt;ROUND($AX$195*Z$225*Z$226,1),Z197&lt;=$AX$195),"mässig","schlecht")),IF(ISNUMBER(Z200),IF(Z200&lt;=ROUND($AX$196*Z$225*Z$226,1),"gut",IF(AND(Z200&gt;ROUND($AX$196*Z$225*Z$226,1),Z200&lt;=$AX$196),"mässig","schlecht")),IF(Z203&lt;=ROUND($AX$197*Z$225*Z$226,1),"gut",IF(AND(Z203&gt;ROUND($AX$197*Z$225*Z$226,1),Z203&lt;=$AX$197),"mässig","schlecht")))))))))</f>
        <v>WERT?</v>
      </c>
      <c r="AA206" s="99" t="s">
        <v>45</v>
      </c>
      <c r="AB206" s="18"/>
      <c r="AD206" s="283"/>
      <c r="AF206" s="28"/>
      <c r="AG206" s="28"/>
      <c r="AH206" s="28"/>
      <c r="AI206" s="27"/>
      <c r="AJ206" s="28"/>
      <c r="AK206" s="28"/>
      <c r="AL206" s="28"/>
    </row>
    <row r="207" spans="3:50" s="5" customFormat="1" ht="15" customHeight="1" x14ac:dyDescent="0.25">
      <c r="C207" s="28"/>
      <c r="D207" s="28"/>
      <c r="E207" s="28"/>
      <c r="F207" s="28"/>
      <c r="G207" s="28"/>
      <c r="H207" s="28"/>
      <c r="I207" s="28"/>
      <c r="J207" s="18"/>
      <c r="K207" s="18"/>
      <c r="L207" s="18"/>
      <c r="M207" s="18"/>
      <c r="N207" s="18"/>
      <c r="O207" s="18"/>
      <c r="P207" s="18"/>
      <c r="Q207" s="18"/>
      <c r="R207" s="18"/>
      <c r="S207" s="18"/>
      <c r="T207" s="18"/>
      <c r="U207" s="18"/>
      <c r="V207" s="18"/>
      <c r="W207" s="18"/>
      <c r="X207" s="18"/>
      <c r="Y207" s="18"/>
      <c r="Z207" s="18"/>
      <c r="AA207" s="18"/>
      <c r="AB207" s="18"/>
      <c r="AD207" s="283"/>
      <c r="AF207" s="28"/>
      <c r="AG207" s="28"/>
      <c r="AH207" s="28"/>
      <c r="AI207" s="27"/>
      <c r="AJ207" s="28"/>
      <c r="AK207" s="28"/>
      <c r="AL207" s="28"/>
    </row>
    <row r="208" spans="3:50" s="5" customFormat="1" ht="15" customHeight="1" x14ac:dyDescent="0.25">
      <c r="J208" s="139">
        <f>'(3) Variantenbewertung'!I$30</f>
        <v>0.8</v>
      </c>
      <c r="K208" s="140"/>
      <c r="L208" s="139"/>
      <c r="M208" s="139"/>
      <c r="N208" s="139">
        <f>'(3) Variantenbewertung'!L$30</f>
        <v>0.95</v>
      </c>
      <c r="O208" s="140"/>
      <c r="P208" s="139"/>
      <c r="Q208" s="139"/>
      <c r="R208" s="139">
        <f>'(3) Variantenbewertung'!O$30</f>
        <v>0.8</v>
      </c>
      <c r="S208" s="140"/>
      <c r="T208" s="139"/>
      <c r="U208" s="139"/>
      <c r="V208" s="139" t="str">
        <f>'(3) Variantenbewertung'!R$30</f>
        <v>Bauweise wählen</v>
      </c>
      <c r="W208" s="140"/>
      <c r="X208" s="139"/>
      <c r="Y208" s="139"/>
      <c r="Z208" s="139" t="str">
        <f>'(3) Variantenbewertung'!U$30</f>
        <v>Bauweise wählen</v>
      </c>
      <c r="AA208" s="1"/>
      <c r="AB208" s="1"/>
      <c r="AD208" s="283"/>
      <c r="AF208" s="6"/>
      <c r="AH208" s="6"/>
      <c r="AO208" s="7"/>
    </row>
    <row r="209" spans="3:50" s="5" customFormat="1" ht="15" customHeight="1" x14ac:dyDescent="0.25">
      <c r="J209" s="139">
        <f>'(3) Variantenbewertung'!I$35</f>
        <v>1</v>
      </c>
      <c r="K209" s="140"/>
      <c r="L209" s="139"/>
      <c r="M209" s="139"/>
      <c r="N209" s="139">
        <f>'(3) Variantenbewertung'!L$35</f>
        <v>0.95</v>
      </c>
      <c r="O209" s="140"/>
      <c r="P209" s="139"/>
      <c r="Q209" s="139"/>
      <c r="R209" s="139">
        <f>'(3) Variantenbewertung'!O$35</f>
        <v>1</v>
      </c>
      <c r="S209" s="140"/>
      <c r="T209" s="139"/>
      <c r="U209" s="139"/>
      <c r="V209" s="139" t="str">
        <f>'(3) Variantenbewertung'!R$35</f>
        <v/>
      </c>
      <c r="W209" s="140"/>
      <c r="X209" s="139"/>
      <c r="Y209" s="139"/>
      <c r="Z209" s="139" t="str">
        <f>'(3) Variantenbewertung'!U$35</f>
        <v/>
      </c>
      <c r="AA209" s="1"/>
      <c r="AB209" s="1"/>
      <c r="AD209" s="283"/>
      <c r="AH209" s="311"/>
      <c r="AI209" s="311"/>
      <c r="AJ209" s="311"/>
      <c r="AK209" s="311"/>
      <c r="AL209" s="311"/>
      <c r="AO209" s="7"/>
    </row>
    <row r="210" spans="3:50" s="5" customFormat="1" ht="15" customHeight="1" x14ac:dyDescent="0.25">
      <c r="C210" s="266" t="s">
        <v>472</v>
      </c>
      <c r="D210" s="266"/>
      <c r="E210" s="266"/>
      <c r="F210" s="266"/>
      <c r="G210" s="266"/>
      <c r="H210" s="266"/>
      <c r="I210" s="266"/>
      <c r="J210" s="18"/>
      <c r="K210" s="18"/>
      <c r="L210" s="18"/>
      <c r="M210" s="18"/>
      <c r="N210" s="18"/>
      <c r="O210" s="18"/>
      <c r="P210" s="18"/>
      <c r="Q210" s="18"/>
      <c r="R210" s="18"/>
      <c r="S210" s="18"/>
      <c r="T210" s="18"/>
      <c r="U210" s="18"/>
      <c r="V210" s="18"/>
      <c r="W210" s="18"/>
      <c r="X210" s="18"/>
      <c r="Y210" s="18"/>
      <c r="Z210" s="18"/>
      <c r="AA210" s="18"/>
      <c r="AB210" s="18"/>
      <c r="AD210" s="283"/>
      <c r="AF210" s="28"/>
      <c r="AG210" s="28"/>
      <c r="AH210" s="28"/>
      <c r="AI210" s="28"/>
      <c r="AJ210" s="28"/>
      <c r="AK210" s="28"/>
      <c r="AL210" s="28"/>
      <c r="AO210" s="7"/>
    </row>
    <row r="211" spans="3:50" s="5" customFormat="1" ht="15" customHeight="1" x14ac:dyDescent="0.25">
      <c r="C211" s="28"/>
      <c r="D211" s="321" t="s">
        <v>470</v>
      </c>
      <c r="E211" s="321"/>
      <c r="F211" s="321"/>
      <c r="G211" s="321"/>
      <c r="H211" s="181"/>
      <c r="I211" s="70"/>
      <c r="J211" s="316" t="str">
        <f>IF(ISBLANK('(3) Variantenbewertung'!$I$11),"",'(3) Variantenbewertung'!$I$11)</f>
        <v>V1</v>
      </c>
      <c r="K211" s="316"/>
      <c r="L211" s="18"/>
      <c r="M211" s="18"/>
      <c r="N211" s="316" t="str">
        <f>IF(ISBLANK('(3) Variantenbewertung'!$L$11),"",'(3) Variantenbewertung'!$L$11)</f>
        <v>V2</v>
      </c>
      <c r="O211" s="316"/>
      <c r="P211" s="18"/>
      <c r="Q211" s="18"/>
      <c r="R211" s="316" t="str">
        <f>IF(ISBLANK('(3) Variantenbewertung'!$O$11),"",'(3) Variantenbewertung'!$O$11)</f>
        <v>V3</v>
      </c>
      <c r="S211" s="316"/>
      <c r="T211" s="55"/>
      <c r="U211" s="18"/>
      <c r="V211" s="316" t="str">
        <f>IF(ISBLANK('(3) Variantenbewertung'!$R$11),"",'(3) Variantenbewertung'!$R$11)</f>
        <v/>
      </c>
      <c r="W211" s="316"/>
      <c r="X211" s="18"/>
      <c r="Y211" s="18"/>
      <c r="Z211" s="316" t="str">
        <f>IF(ISBLANK('(3) Variantenbewertung'!$U$11),"",'(3) Variantenbewertung'!$U$11)</f>
        <v/>
      </c>
      <c r="AA211" s="316"/>
      <c r="AB211" s="18"/>
      <c r="AD211" s="283"/>
      <c r="AF211" s="28"/>
      <c r="AG211" s="28"/>
      <c r="AH211" s="266"/>
      <c r="AI211" s="266"/>
      <c r="AJ211" s="266"/>
      <c r="AK211" s="266"/>
      <c r="AL211" s="266"/>
      <c r="AM211" s="10"/>
      <c r="AN211" s="10"/>
      <c r="AO211" s="19" t="s">
        <v>39</v>
      </c>
    </row>
    <row r="212" spans="3:50" s="5" customFormat="1" ht="15" customHeight="1" x14ac:dyDescent="0.25">
      <c r="C212" s="28"/>
      <c r="D212" s="321"/>
      <c r="E212" s="321"/>
      <c r="F212" s="321"/>
      <c r="G212" s="321"/>
      <c r="H212" s="181"/>
      <c r="I212" s="28"/>
      <c r="J212" s="132" t="s">
        <v>221</v>
      </c>
      <c r="K212" s="133" t="s">
        <v>222</v>
      </c>
      <c r="L212" s="126"/>
      <c r="M212" s="17"/>
      <c r="N212" s="132" t="s">
        <v>221</v>
      </c>
      <c r="O212" s="133" t="s">
        <v>222</v>
      </c>
      <c r="P212" s="126"/>
      <c r="Q212" s="17"/>
      <c r="R212" s="132" t="s">
        <v>221</v>
      </c>
      <c r="S212" s="133" t="s">
        <v>222</v>
      </c>
      <c r="T212" s="126"/>
      <c r="U212" s="17"/>
      <c r="V212" s="132" t="s">
        <v>221</v>
      </c>
      <c r="W212" s="133" t="s">
        <v>222</v>
      </c>
      <c r="X212" s="126"/>
      <c r="Y212" s="17"/>
      <c r="Z212" s="132" t="s">
        <v>221</v>
      </c>
      <c r="AA212" s="133" t="s">
        <v>222</v>
      </c>
      <c r="AB212" s="17"/>
      <c r="AD212" s="283"/>
      <c r="AF212" s="27"/>
      <c r="AG212" s="28"/>
      <c r="AH212" s="27"/>
      <c r="AI212" s="332"/>
      <c r="AJ212" s="332"/>
      <c r="AK212" s="332"/>
      <c r="AL212" s="332"/>
      <c r="AM212" s="7"/>
      <c r="AN212" s="7"/>
      <c r="AO212" s="7"/>
    </row>
    <row r="213" spans="3:50" s="5" customFormat="1" ht="15" customHeight="1" x14ac:dyDescent="0.25">
      <c r="C213" s="28"/>
      <c r="D213" s="28"/>
      <c r="E213" s="171"/>
      <c r="F213" s="28"/>
      <c r="G213" s="28"/>
      <c r="H213" s="28"/>
      <c r="I213" s="28"/>
      <c r="J213" s="25" t="s">
        <v>471</v>
      </c>
      <c r="K213" s="53" t="str">
        <f>IF(NOT(K223="keine Korrektur"),"Bitte begründen:","")</f>
        <v/>
      </c>
      <c r="L213" s="20"/>
      <c r="M213" s="20"/>
      <c r="N213" s="25" t="s">
        <v>471</v>
      </c>
      <c r="O213" s="53" t="str">
        <f>IF(NOT(O223="keine Korrektur"),"Bitte begründen:","")</f>
        <v/>
      </c>
      <c r="P213" s="20"/>
      <c r="Q213" s="20"/>
      <c r="R213" s="25" t="s">
        <v>471</v>
      </c>
      <c r="S213" s="53" t="str">
        <f>IF(NOT(S223="keine Korrektur"),"Bitte begründen:","")</f>
        <v/>
      </c>
      <c r="T213" s="20"/>
      <c r="U213" s="20"/>
      <c r="V213" s="25" t="s">
        <v>471</v>
      </c>
      <c r="W213" s="53" t="str">
        <f>IF(NOT(W223="keine Korrektur"),"Bitte begründen:","")</f>
        <v/>
      </c>
      <c r="X213" s="20"/>
      <c r="Y213" s="20"/>
      <c r="Z213" s="25" t="s">
        <v>471</v>
      </c>
      <c r="AA213" s="53" t="str">
        <f>IF(NOT(AA223="keine Korrektur"),"Bitte begründen:","")</f>
        <v/>
      </c>
      <c r="AB213" s="17"/>
      <c r="AD213" s="283"/>
      <c r="AF213" s="17"/>
      <c r="AG213" s="160"/>
      <c r="AH213" s="37"/>
      <c r="AI213" s="37"/>
      <c r="AJ213" s="37"/>
      <c r="AK213" s="37"/>
      <c r="AL213" s="37"/>
      <c r="AM213" s="2"/>
      <c r="AN213" s="2"/>
      <c r="AO213" s="313" t="s">
        <v>475</v>
      </c>
      <c r="AP213" s="313"/>
    </row>
    <row r="214" spans="3:50" s="5" customFormat="1" ht="15" customHeight="1" x14ac:dyDescent="0.25">
      <c r="C214" s="28"/>
      <c r="D214" s="30"/>
      <c r="E214" s="322" t="s">
        <v>462</v>
      </c>
      <c r="F214" s="170" t="str">
        <f>IF('(1) Grundlagen'!$H$66="Bitte wählen","Bitte auf Blatt (1) Fischregion wählen","&lt; Bemessungswert")</f>
        <v>&lt; Bemessungswert</v>
      </c>
      <c r="G214" s="28"/>
      <c r="H214" s="28"/>
      <c r="I214" s="128" t="str">
        <f>IF('(3) Variantenbewertung'!I$26&gt;2,"DEAKTIVIERT",IF(OR(J$225="Bauweise wählen",J$226="Bauweise / Betriebsbedingungen wählen"),"FEHLER","&lt; "&amp;ROUND(L$214*J$225*J$226,1)&amp;" m/s"))</f>
        <v>&lt; 1.5 m/s</v>
      </c>
      <c r="J214" s="223"/>
      <c r="K214" s="318"/>
      <c r="L214" s="83">
        <f>IF('(3) Variantenbewertung'!I$26=1,$AX$215,$AX$221)</f>
        <v>1.9</v>
      </c>
      <c r="M214" s="128" t="str">
        <f>IF('(3) Variantenbewertung'!L$26&gt;2,"DEAKTIVIERT",IF(OR(N$225="Bauweise wählen",N$226="Bauweise / Betriebsbedingungen wählen"),"FEHLER","&lt; "&amp;ROUND(P$214*N$225*N$226,1)&amp;" m/s"))</f>
        <v>DEAKTIVIERT</v>
      </c>
      <c r="N214" s="223">
        <v>0.2</v>
      </c>
      <c r="O214" s="318"/>
      <c r="P214" s="83">
        <f>IF('(3) Variantenbewertung'!L$26=1,$AX$215,$AX$221)</f>
        <v>1.9</v>
      </c>
      <c r="Q214" s="128" t="str">
        <f>IF('(3) Variantenbewertung'!O$26&gt;2,"DEAKTIVIERT",IF(OR(R$225="Bauweise wählen",R$226="Bauweise / Betriebsbedingungen wählen"),"FEHLER","&lt; "&amp;ROUND(T$214*R$225*R$226,1)&amp;" m/s"))</f>
        <v>&lt; 1.5 m/s</v>
      </c>
      <c r="R214" s="223"/>
      <c r="S214" s="318"/>
      <c r="T214" s="83">
        <f>IF('(3) Variantenbewertung'!O$26=1,$AX$215,$AX$221)</f>
        <v>1.9</v>
      </c>
      <c r="U214" s="128" t="str">
        <f>IF('(3) Variantenbewertung'!R$26&gt;2,"DEAKTIVIERT",IF(OR(V$225="Bauweise wählen",V$226="Bauweise / Betriebsbedingungen wählen"),"FEHLER","&lt; "&amp;ROUND(X$214*V$225*V$226,1)&amp;" m/s"))</f>
        <v>DEAKTIVIERT</v>
      </c>
      <c r="V214" s="223"/>
      <c r="W214" s="318"/>
      <c r="X214" s="83">
        <f>IF('(3) Variantenbewertung'!R$26=1,$AX$215,$AX$221)</f>
        <v>1.9</v>
      </c>
      <c r="Y214" s="128" t="str">
        <f>IF('(3) Variantenbewertung'!U$26&gt;2,"DEAKTIVIERT",IF(OR(Z$225="Bauweise wählen",Z$226="Bauweise / Betriebsbedingungen wählen"),"FEHLER","&lt; "&amp;ROUND(AB$214*Z$225*Z$226,1)&amp;" m/s"))</f>
        <v>DEAKTIVIERT</v>
      </c>
      <c r="Z214" s="223">
        <v>1.2</v>
      </c>
      <c r="AA214" s="318"/>
      <c r="AB214" s="83">
        <f>IF('(3) Variantenbewertung'!U$26=1,$AX$215,$AX$221)</f>
        <v>1.9</v>
      </c>
      <c r="AD214" s="283"/>
      <c r="AF214" s="48"/>
      <c r="AG214" s="58"/>
      <c r="AH214" s="302"/>
      <c r="AI214" s="25"/>
      <c r="AJ214" s="25"/>
      <c r="AK214" s="25"/>
      <c r="AL214" s="25"/>
      <c r="AM214" s="9"/>
      <c r="AN214" s="9"/>
      <c r="AO214" s="23" t="s">
        <v>460</v>
      </c>
      <c r="AP214" s="23" t="s">
        <v>8</v>
      </c>
      <c r="AQ214" s="23"/>
      <c r="AR214" s="23" t="s">
        <v>9</v>
      </c>
      <c r="AS214" s="23"/>
      <c r="AT214" s="23" t="s">
        <v>1</v>
      </c>
      <c r="AU214" s="23"/>
      <c r="AV214" s="23" t="s">
        <v>2</v>
      </c>
      <c r="AW214" s="1"/>
      <c r="AX214" s="1"/>
    </row>
    <row r="215" spans="3:50" s="5" customFormat="1" ht="15" customHeight="1" x14ac:dyDescent="0.25">
      <c r="C215" s="28"/>
      <c r="D215" s="31"/>
      <c r="E215" s="259"/>
      <c r="F215" s="170" t="str">
        <f>IF('(1) Grundlagen'!$H$66="Bitte wählen","","Grenzwert bis Bemessungswert")</f>
        <v>Grenzwert bis Bemessungswert</v>
      </c>
      <c r="G215" s="28"/>
      <c r="H215" s="28"/>
      <c r="I215" s="128" t="str">
        <f>IF('(3) Variantenbewertung'!I$26&gt;2,"",IF(OR(J$225="Bauweise wählen",J$226="Bauweise / Betriebsbedingungen wählen"),"",ROUND(L$214*J$225*J$226,1)&amp;" bis "&amp;L$214&amp;" m/s"))</f>
        <v>1.5 bis 1.9 m/s</v>
      </c>
      <c r="J215" s="223"/>
      <c r="K215" s="319"/>
      <c r="L215" s="83"/>
      <c r="M215" s="128" t="str">
        <f>IF('(3) Variantenbewertung'!L$26&gt;2,"",IF(OR(N$225="Bauweise wählen",N$226="Bauweise / Betriebsbedingungen wählen"),"",ROUND(P$214*N$225*N$226,1)&amp;" bis "&amp;P$214&amp;" m/s"))</f>
        <v/>
      </c>
      <c r="N215" s="223"/>
      <c r="O215" s="319"/>
      <c r="P215" s="83"/>
      <c r="Q215" s="128" t="str">
        <f>IF('(3) Variantenbewertung'!O$26&gt;2,"",IF(OR(R$225="Bauweise wählen",R$226="Bauweise / Betriebsbedingungen wählen"),"",ROUND(T$214*R$225*R$226,1)&amp;" bis "&amp;T$214&amp;" m/s"))</f>
        <v>1.5 bis 1.9 m/s</v>
      </c>
      <c r="R215" s="223"/>
      <c r="S215" s="319"/>
      <c r="T215" s="83"/>
      <c r="U215" s="128" t="str">
        <f>IF('(3) Variantenbewertung'!R$26&gt;2,"",IF(OR(V$225="Bauweise wählen",V$226="Bauweise / Betriebsbedingungen wählen"),"",ROUND(X$214*V$225*V$226,1)&amp;" bis "&amp;X$214&amp;" m/s"))</f>
        <v/>
      </c>
      <c r="V215" s="223"/>
      <c r="W215" s="319"/>
      <c r="X215" s="83"/>
      <c r="Y215" s="128" t="str">
        <f>IF('(3) Variantenbewertung'!U$26&gt;2,"",IF(OR(Z$225="Bauweise wählen",Z$226="Bauweise / Betriebsbedingungen wählen"),"",ROUND(AB$214*Z$225*Z$226,1)&amp;" bis "&amp;AB$214&amp;" m/s"))</f>
        <v/>
      </c>
      <c r="Z215" s="223"/>
      <c r="AA215" s="319"/>
      <c r="AB215" s="83"/>
      <c r="AD215" s="283"/>
      <c r="AF215" s="49"/>
      <c r="AG215" s="59"/>
      <c r="AH215" s="312"/>
      <c r="AI215" s="25"/>
      <c r="AJ215" s="25"/>
      <c r="AK215" s="25"/>
      <c r="AL215" s="25"/>
      <c r="AM215" s="11"/>
      <c r="AN215" s="11"/>
      <c r="AO215" s="60" t="s">
        <v>461</v>
      </c>
      <c r="AP215" s="159">
        <v>2</v>
      </c>
      <c r="AQ215" s="57"/>
      <c r="AR215" s="159">
        <v>1.9</v>
      </c>
      <c r="AS215" s="57"/>
      <c r="AT215" s="159">
        <v>1.8</v>
      </c>
      <c r="AU215" s="57"/>
      <c r="AV215" s="159">
        <v>1.6</v>
      </c>
      <c r="AW215" s="1"/>
      <c r="AX215" s="22">
        <f>IF('(1) Grundlagen'!$H$66="Obere Forellenregion",AP215,IF('(1) Grundlagen'!$H$66="Untere Forellenregion",AR215,IF('(1) Grundlagen'!$H$66="Äschenregion",AT215,AV215)))</f>
        <v>1.8</v>
      </c>
    </row>
    <row r="216" spans="3:50" s="5" customFormat="1" ht="15" customHeight="1" x14ac:dyDescent="0.25">
      <c r="C216" s="28"/>
      <c r="D216" s="32"/>
      <c r="E216" s="259"/>
      <c r="F216" s="170" t="str">
        <f>IF('(1) Grundlagen'!$H$66="Bitte wählen","","&gt; Grenzwert")</f>
        <v>&gt; Grenzwert</v>
      </c>
      <c r="G216" s="28"/>
      <c r="H216" s="28"/>
      <c r="I216" s="128" t="str">
        <f>IF('(3) Variantenbewertung'!I$26&gt;2,"",IF(OR(J$225="Bauweise wählen",J$226="Bauweise / Betriebsbedingungen wählen"),"","&gt; "&amp;L$214&amp;" m/s"))</f>
        <v>&gt; 1.9 m/s</v>
      </c>
      <c r="J216" s="223"/>
      <c r="K216" s="319"/>
      <c r="L216" s="83"/>
      <c r="M216" s="128" t="str">
        <f>IF('(3) Variantenbewertung'!L$26&gt;2,"",IF(OR(N$225="Bauweise wählen",N$226="Bauweise / Betriebsbedingungen wählen"),"","&gt; "&amp;P$214&amp;" m/s"))</f>
        <v/>
      </c>
      <c r="N216" s="223"/>
      <c r="O216" s="319"/>
      <c r="P216" s="83"/>
      <c r="Q216" s="128" t="str">
        <f>IF('(3) Variantenbewertung'!O$26&gt;2,"",IF(OR(R$225="Bauweise wählen",R$226="Bauweise / Betriebsbedingungen wählen"),"","&gt; "&amp;T$214&amp;" m/s"))</f>
        <v>&gt; 1.9 m/s</v>
      </c>
      <c r="R216" s="223"/>
      <c r="S216" s="319"/>
      <c r="T216" s="83"/>
      <c r="U216" s="128" t="str">
        <f>IF('(3) Variantenbewertung'!R$26&gt;2,"",IF(OR(V$225="Bauweise wählen",V$226="Bauweise / Betriebsbedingungen wählen"),"","&gt; "&amp;X$214&amp;" m/s"))</f>
        <v/>
      </c>
      <c r="V216" s="223"/>
      <c r="W216" s="319"/>
      <c r="X216" s="83"/>
      <c r="Y216" s="128" t="str">
        <f>IF('(3) Variantenbewertung'!U$26&gt;2,"",IF(OR(Z$225="Bauweise wählen",Z$226="Bauweise / Betriebsbedingungen wählen"),"","&gt; "&amp;AB$214&amp;" m/s"))</f>
        <v/>
      </c>
      <c r="Z216" s="223"/>
      <c r="AA216" s="319"/>
      <c r="AB216" s="83"/>
      <c r="AD216" s="283"/>
      <c r="AF216" s="50"/>
      <c r="AG216" s="58"/>
      <c r="AH216" s="303"/>
      <c r="AI216" s="25"/>
      <c r="AJ216" s="25"/>
      <c r="AK216" s="25"/>
      <c r="AL216" s="25"/>
      <c r="AM216" s="9"/>
      <c r="AN216" s="9"/>
      <c r="AO216" s="60" t="s">
        <v>474</v>
      </c>
      <c r="AP216" s="159">
        <v>1.7</v>
      </c>
      <c r="AQ216" s="57"/>
      <c r="AR216" s="159">
        <v>1.6</v>
      </c>
      <c r="AS216" s="57"/>
      <c r="AT216" s="159">
        <v>1.5</v>
      </c>
      <c r="AU216" s="57"/>
      <c r="AV216" s="159">
        <v>1.4</v>
      </c>
      <c r="AW216" s="1"/>
      <c r="AX216" s="22">
        <f>IF('(1) Grundlagen'!$H$66="Obere Forellenregion",AP216,IF('(1) Grundlagen'!$H$66="Untere Forellenregion",AR216,IF('(1) Grundlagen'!$H$66="Äschenregion",AT216,AV216)))</f>
        <v>1.5</v>
      </c>
    </row>
    <row r="217" spans="3:50" s="5" customFormat="1" ht="15" customHeight="1" x14ac:dyDescent="0.25">
      <c r="C217" s="28"/>
      <c r="D217" s="30"/>
      <c r="E217" s="314" t="s">
        <v>463</v>
      </c>
      <c r="F217" s="170" t="str">
        <f>IF('(1) Grundlagen'!$H$66="Bitte wählen","Bitte auf Blatt (1) Fischregion wählen","&lt; Bemessungswert")</f>
        <v>&lt; Bemessungswert</v>
      </c>
      <c r="G217" s="28"/>
      <c r="H217" s="28"/>
      <c r="I217" s="128" t="str">
        <f>IF('(3) Variantenbewertung'!I$26&gt;2,"",IF(OR(J$225="Bauweise wählen",J$226="Bauweise / Betriebsbedingungen wählen"),"FEHLER","&lt; "&amp;ROUND(L$217*J$225*J$226,1)&amp;" m/s"))</f>
        <v>&lt; 1.4 m/s</v>
      </c>
      <c r="J217" s="223"/>
      <c r="K217" s="319"/>
      <c r="L217" s="83">
        <f>IF('(3) Variantenbewertung'!I$26=1,$AX$216,$AX$222)</f>
        <v>1.8</v>
      </c>
      <c r="M217" s="128" t="str">
        <f>IF('(3) Variantenbewertung'!L$26&gt;2,"",IF(OR(N$225="Bauweise wählen",N$226="Bauweise / Betriebsbedingungen wählen"),"FEHLER","&lt; "&amp;ROUND(P$217*N$225*N$226,1)&amp;" m/s"))</f>
        <v/>
      </c>
      <c r="N217" s="223"/>
      <c r="O217" s="319"/>
      <c r="P217" s="83">
        <f>IF('(3) Variantenbewertung'!L$26=1,$AX$216,$AX$222)</f>
        <v>1.8</v>
      </c>
      <c r="Q217" s="128" t="str">
        <f>IF('(3) Variantenbewertung'!O$26&gt;2,"",IF(OR(R$225="Bauweise wählen",R$226="Bauweise / Betriebsbedingungen wählen"),"FEHLER","&lt; "&amp;ROUND(T$217*R$225*R$226,1)&amp;" m/s"))</f>
        <v>&lt; 1.4 m/s</v>
      </c>
      <c r="R217" s="223">
        <v>1.61</v>
      </c>
      <c r="S217" s="319"/>
      <c r="T217" s="83">
        <f>IF('(3) Variantenbewertung'!O$26=1,$AX$216,$AX$222)</f>
        <v>1.8</v>
      </c>
      <c r="U217" s="128" t="str">
        <f>IF('(3) Variantenbewertung'!R$26&gt;2,"",IF(OR(V$225="Bauweise wählen",V$226="Bauweise / Betriebsbedingungen wählen"),"FEHLER","&lt; "&amp;ROUND(X$217*V$225*V$226,1)&amp;" m/s"))</f>
        <v/>
      </c>
      <c r="V217" s="223">
        <v>2</v>
      </c>
      <c r="W217" s="319"/>
      <c r="X217" s="83">
        <f>IF('(3) Variantenbewertung'!R$26=1,$AX$216,$AX$222)</f>
        <v>1.8</v>
      </c>
      <c r="Y217" s="128" t="str">
        <f>IF('(3) Variantenbewertung'!U$26&gt;2,"",IF(OR(Z$225="Bauweise wählen",Z$226="Bauweise / Betriebsbedingungen wählen"),"FEHLER","&lt; "&amp;ROUND(AB$217*Z$225*Z$226,1)&amp;" m/s"))</f>
        <v/>
      </c>
      <c r="Z217" s="223"/>
      <c r="AA217" s="319"/>
      <c r="AB217" s="83">
        <f>IF('(3) Variantenbewertung'!U$26=1,$AX$216,$AX$222)</f>
        <v>1.8</v>
      </c>
      <c r="AD217" s="283"/>
      <c r="AF217" s="48"/>
      <c r="AG217" s="58"/>
      <c r="AH217" s="302"/>
      <c r="AI217" s="25"/>
      <c r="AJ217" s="25"/>
      <c r="AK217" s="25"/>
      <c r="AL217" s="25"/>
      <c r="AM217" s="9"/>
      <c r="AN217" s="9"/>
      <c r="AO217" s="60" t="s">
        <v>79</v>
      </c>
      <c r="AP217" s="159">
        <v>1.5</v>
      </c>
      <c r="AQ217" s="57"/>
      <c r="AR217" s="159">
        <v>1.4</v>
      </c>
      <c r="AS217" s="57"/>
      <c r="AT217" s="159">
        <v>1.3</v>
      </c>
      <c r="AU217" s="57"/>
      <c r="AV217" s="159">
        <v>1.2</v>
      </c>
      <c r="AW217" s="1"/>
      <c r="AX217" s="22">
        <f>IF('(1) Grundlagen'!$H$66="Obere Forellenregion",AP217,IF('(1) Grundlagen'!$H$66="Untere Forellenregion",AR217,IF('(1) Grundlagen'!$H$66="Äschenregion",AT217,AV217)))</f>
        <v>1.3</v>
      </c>
    </row>
    <row r="218" spans="3:50" s="5" customFormat="1" ht="15" customHeight="1" x14ac:dyDescent="0.25">
      <c r="C218" s="28"/>
      <c r="D218" s="31"/>
      <c r="E218" s="259"/>
      <c r="F218" s="170" t="str">
        <f>IF('(1) Grundlagen'!$H$66="Bitte wählen","","Grenzwert bis Bemessungswert")</f>
        <v>Grenzwert bis Bemessungswert</v>
      </c>
      <c r="G218" s="28"/>
      <c r="H218" s="28"/>
      <c r="I218" s="128" t="str">
        <f>IF('(3) Variantenbewertung'!I$26&gt;2,"",IF(OR(J$225="Bauweise wählen",J$226="Bauweise / Betriebsbedingungen wählen"),"",ROUND(L$217*J$225*J$226,1)&amp;" bis "&amp;L$217&amp;" m/s"))</f>
        <v>1.4 bis 1.8 m/s</v>
      </c>
      <c r="J218" s="223"/>
      <c r="K218" s="319"/>
      <c r="L218" s="83"/>
      <c r="M218" s="128" t="str">
        <f>IF('(3) Variantenbewertung'!L$26&gt;2,"",IF(OR(N$225="Bauweise wählen",N$226="Bauweise / Betriebsbedingungen wählen"),"",ROUND(P$217*N$225*N$226,1)&amp;" bis "&amp;P$217&amp;" m/s"))</f>
        <v/>
      </c>
      <c r="N218" s="223"/>
      <c r="O218" s="319"/>
      <c r="P218" s="83"/>
      <c r="Q218" s="128" t="str">
        <f>IF('(3) Variantenbewertung'!O$26&gt;2,"",IF(OR(R$225="Bauweise wählen",R$226="Bauweise / Betriebsbedingungen wählen"),"",ROUND(T$217*R$225*R$226,1)&amp;" bis "&amp;T$217&amp;" m/s"))</f>
        <v>1.4 bis 1.8 m/s</v>
      </c>
      <c r="R218" s="223"/>
      <c r="S218" s="319"/>
      <c r="T218" s="83"/>
      <c r="U218" s="128" t="str">
        <f>IF('(3) Variantenbewertung'!R$26&gt;2,"",IF(OR(V$225="Bauweise wählen",V$226="Bauweise / Betriebsbedingungen wählen"),"",ROUND(X$217*V$225*V$226,1)&amp;" bis "&amp;X$217&amp;" m/s"))</f>
        <v/>
      </c>
      <c r="V218" s="223"/>
      <c r="W218" s="319"/>
      <c r="X218" s="83"/>
      <c r="Y218" s="128" t="str">
        <f>IF('(3) Variantenbewertung'!U$26&gt;2,"",IF(OR(Z$225="Bauweise wählen",Z$226="Bauweise / Betriebsbedingungen wählen"),"",ROUND(AB$217*Z$225*Z$226,1)&amp;" bis "&amp;AB$217&amp;" m/s"))</f>
        <v/>
      </c>
      <c r="Z218" s="223"/>
      <c r="AA218" s="319"/>
      <c r="AB218" s="83"/>
      <c r="AD218" s="283"/>
      <c r="AF218" s="49"/>
      <c r="AG218" s="59"/>
      <c r="AH218" s="312"/>
      <c r="AI218" s="25"/>
      <c r="AJ218" s="25"/>
      <c r="AK218" s="25"/>
      <c r="AL218" s="25"/>
      <c r="AM218" s="11"/>
      <c r="AN218" s="11"/>
      <c r="AO218" s="158"/>
      <c r="AP218" s="148"/>
      <c r="AQ218" s="148"/>
      <c r="AR218" s="148"/>
      <c r="AS218" s="148"/>
      <c r="AT218" s="148"/>
      <c r="AU218" s="148"/>
      <c r="AV218" s="148"/>
      <c r="AW218" s="1"/>
      <c r="AX218" s="77"/>
    </row>
    <row r="219" spans="3:50" s="5" customFormat="1" ht="15" customHeight="1" x14ac:dyDescent="0.25">
      <c r="C219" s="28"/>
      <c r="D219" s="32"/>
      <c r="E219" s="259"/>
      <c r="F219" s="170" t="str">
        <f>IF('(1) Grundlagen'!$H$66="Bitte wählen","","&gt; Grenzwert")</f>
        <v>&gt; Grenzwert</v>
      </c>
      <c r="G219" s="28"/>
      <c r="H219" s="28"/>
      <c r="I219" s="128" t="str">
        <f>IF('(3) Variantenbewertung'!I$26&gt;2,"",IF(OR(J$225="Bauweise wählen",J$226="Bauweise / Betriebsbedingungen wählen"),"","&gt; "&amp;L$217&amp;" m/s"))</f>
        <v>&gt; 1.8 m/s</v>
      </c>
      <c r="J219" s="223"/>
      <c r="K219" s="319"/>
      <c r="L219" s="83"/>
      <c r="M219" s="128" t="str">
        <f>IF('(3) Variantenbewertung'!L$26&gt;2,"",IF(OR(N$225="Bauweise wählen",N$226="Bauweise / Betriebsbedingungen wählen"),"","&gt; "&amp;P$217&amp;" m/s"))</f>
        <v/>
      </c>
      <c r="N219" s="223"/>
      <c r="O219" s="319"/>
      <c r="P219" s="83"/>
      <c r="Q219" s="128" t="str">
        <f>IF('(3) Variantenbewertung'!O$26&gt;2,"",IF(OR(R$225="Bauweise wählen",R$226="Bauweise / Betriebsbedingungen wählen"),"","&gt; "&amp;T$217&amp;" m/s"))</f>
        <v>&gt; 1.8 m/s</v>
      </c>
      <c r="R219" s="223"/>
      <c r="S219" s="319"/>
      <c r="T219" s="83"/>
      <c r="U219" s="128" t="str">
        <f>IF('(3) Variantenbewertung'!R$26&gt;2,"",IF(OR(V$225="Bauweise wählen",V$226="Bauweise / Betriebsbedingungen wählen"),"","&gt; "&amp;X$217&amp;" m/s"))</f>
        <v/>
      </c>
      <c r="V219" s="223"/>
      <c r="W219" s="319"/>
      <c r="X219" s="83"/>
      <c r="Y219" s="128" t="str">
        <f>IF('(3) Variantenbewertung'!U$26&gt;2,"",IF(OR(Z$225="Bauweise wählen",Z$226="Bauweise / Betriebsbedingungen wählen"),"","&gt; "&amp;AB$217&amp;" m/s"))</f>
        <v/>
      </c>
      <c r="Z219" s="223"/>
      <c r="AA219" s="319"/>
      <c r="AB219" s="83"/>
      <c r="AD219" s="283"/>
      <c r="AF219" s="50"/>
      <c r="AG219" s="58"/>
      <c r="AH219" s="303"/>
      <c r="AI219" s="25"/>
      <c r="AJ219" s="25"/>
      <c r="AK219" s="25"/>
      <c r="AL219" s="25"/>
      <c r="AM219" s="9"/>
      <c r="AN219" s="9"/>
      <c r="AO219" s="313" t="s">
        <v>476</v>
      </c>
      <c r="AP219" s="313"/>
    </row>
    <row r="220" spans="3:50" s="5" customFormat="1" ht="15" customHeight="1" x14ac:dyDescent="0.25">
      <c r="C220" s="28"/>
      <c r="D220" s="30"/>
      <c r="E220" s="314" t="s">
        <v>464</v>
      </c>
      <c r="F220" s="170" t="str">
        <f>IF('(1) Grundlagen'!$H$66="Bitte wählen","Bitte auf Blatt (1) Fischregion wählen","&lt; Bemessungswert")</f>
        <v>&lt; Bemessungswert</v>
      </c>
      <c r="G220" s="28"/>
      <c r="H220" s="28"/>
      <c r="I220" s="128" t="str">
        <f>IF('(3) Variantenbewertung'!I$26&gt;2,"",IF(OR(J$225="Bauweise wählen",J$226="Bauweise / Betriebsbedingungen wählen"),"FEHLER","&lt; "&amp;ROUND(L$220*J$225*J$226,1)&amp;" m/s"))</f>
        <v>&lt; 1.2 m/s</v>
      </c>
      <c r="J220" s="223">
        <v>1.91</v>
      </c>
      <c r="K220" s="319"/>
      <c r="L220" s="83">
        <f>IF('(3) Variantenbewertung'!I$26=1,$AX$217,$AX$223)</f>
        <v>1.5</v>
      </c>
      <c r="M220" s="128" t="str">
        <f>IF('(3) Variantenbewertung'!L$26&gt;2,"",IF(OR(N$225="Bauweise wählen",N$226="Bauweise / Betriebsbedingungen wählen"),"FEHLER","&lt; "&amp;ROUND(P$220*N$225*N$226,1)&amp;" m/s"))</f>
        <v/>
      </c>
      <c r="N220" s="223"/>
      <c r="O220" s="319"/>
      <c r="P220" s="83">
        <f>IF('(3) Variantenbewertung'!L$26=1,$AX$217,$AX$223)</f>
        <v>1.5</v>
      </c>
      <c r="Q220" s="128" t="str">
        <f>IF('(3) Variantenbewertung'!O$26&gt;2,"",IF(OR(R$225="Bauweise wählen",R$226="Bauweise / Betriebsbedingungen wählen"),"FEHLER","&lt; "&amp;ROUND(T$220*R$225*R$226,1)&amp;" m/s"))</f>
        <v>&lt; 1.2 m/s</v>
      </c>
      <c r="R220" s="223"/>
      <c r="S220" s="319"/>
      <c r="T220" s="83">
        <f>IF('(3) Variantenbewertung'!O$26=1,$AX$217,$AX$223)</f>
        <v>1.5</v>
      </c>
      <c r="U220" s="128" t="str">
        <f>IF('(3) Variantenbewertung'!R$26&gt;2,"",IF(OR(V$225="Bauweise wählen",V$226="Bauweise / Betriebsbedingungen wählen"),"FEHLER","&lt; "&amp;ROUND(X$220*V$225*V$226,1)&amp;" m/s"))</f>
        <v/>
      </c>
      <c r="V220" s="223"/>
      <c r="W220" s="319"/>
      <c r="X220" s="83">
        <f>IF('(3) Variantenbewertung'!R$26=1,$AX$217,$AX$223)</f>
        <v>1.5</v>
      </c>
      <c r="Y220" s="128" t="str">
        <f>IF('(3) Variantenbewertung'!U$26&gt;2,"",IF(OR(Z$225="Bauweise wählen",Z$226="Bauweise / Betriebsbedingungen wählen"),"FEHLER","&lt; "&amp;ROUND(AB$220*Z$225*Z$226,1)&amp;" m/s"))</f>
        <v/>
      </c>
      <c r="Z220" s="223"/>
      <c r="AA220" s="319"/>
      <c r="AB220" s="83">
        <f>IF('(3) Variantenbewertung'!U$26=1,$AX$217,$AX$223)</f>
        <v>1.5</v>
      </c>
      <c r="AD220" s="283"/>
      <c r="AF220" s="48"/>
      <c r="AG220" s="58"/>
      <c r="AH220" s="302"/>
      <c r="AI220" s="25"/>
      <c r="AJ220" s="25"/>
      <c r="AK220" s="25"/>
      <c r="AL220" s="25"/>
      <c r="AM220" s="9"/>
      <c r="AN220" s="9"/>
      <c r="AO220" s="23" t="s">
        <v>460</v>
      </c>
      <c r="AP220" s="23" t="s">
        <v>8</v>
      </c>
      <c r="AQ220" s="23"/>
      <c r="AR220" s="23" t="s">
        <v>9</v>
      </c>
      <c r="AS220" s="23"/>
      <c r="AT220" s="23" t="s">
        <v>1</v>
      </c>
      <c r="AU220" s="23"/>
      <c r="AV220" s="23" t="s">
        <v>2</v>
      </c>
      <c r="AW220" s="1"/>
      <c r="AX220" s="1"/>
    </row>
    <row r="221" spans="3:50" s="5" customFormat="1" ht="15" customHeight="1" x14ac:dyDescent="0.25">
      <c r="C221" s="28"/>
      <c r="D221" s="31"/>
      <c r="E221" s="259"/>
      <c r="F221" s="170" t="str">
        <f>IF('(1) Grundlagen'!$H$66="Bitte wählen","","Grenzwert bis Bemessungswert")</f>
        <v>Grenzwert bis Bemessungswert</v>
      </c>
      <c r="G221" s="28"/>
      <c r="H221" s="28"/>
      <c r="I221" s="128" t="str">
        <f>IF('(3) Variantenbewertung'!I$26&gt;2,"",IF(OR(J$225="Bauweise wählen",J$226="Bauweise / Betriebsbedingungen wählen"),"",ROUND(L$220*J$225*J$226,1)&amp;" bis "&amp;L$220&amp;" m/s"))</f>
        <v>1.2 bis 1.5 m/s</v>
      </c>
      <c r="J221" s="223"/>
      <c r="K221" s="319"/>
      <c r="L221" s="83"/>
      <c r="M221" s="128" t="str">
        <f>IF('(3) Variantenbewertung'!L$26&gt;2,"",IF(OR(N$225="Bauweise wählen",N$226="Bauweise / Betriebsbedingungen wählen"),"",ROUND(P$220*N$225*N$226,1)&amp;" bis "&amp;P$220&amp;" m/s"))</f>
        <v/>
      </c>
      <c r="N221" s="223"/>
      <c r="O221" s="319"/>
      <c r="P221" s="83"/>
      <c r="Q221" s="128" t="str">
        <f>IF('(3) Variantenbewertung'!O$26&gt;2,"",IF(OR(R$225="Bauweise wählen",R$226="Bauweise / Betriebsbedingungen wählen"),"",ROUND(T$220*R$225*R$226,1)&amp;" bis "&amp;T$220&amp;" m/s"))</f>
        <v>1.2 bis 1.5 m/s</v>
      </c>
      <c r="R221" s="223"/>
      <c r="S221" s="319"/>
      <c r="T221" s="83"/>
      <c r="U221" s="128" t="str">
        <f>IF('(3) Variantenbewertung'!R$26&gt;2,"",IF(OR(V$225="Bauweise wählen",V$226="Bauweise / Betriebsbedingungen wählen"),"",ROUND(X$220*V$225*V$226,1)&amp;" bis "&amp;X$220&amp;" m/s"))</f>
        <v/>
      </c>
      <c r="V221" s="223"/>
      <c r="W221" s="319"/>
      <c r="X221" s="83"/>
      <c r="Y221" s="128" t="str">
        <f>IF('(3) Variantenbewertung'!U$26&gt;2,"",IF(OR(Z$225="Bauweise wählen",Z$226="Bauweise / Betriebsbedingungen wählen"),"",ROUND(AB$220*Z$225*Z$226,1)&amp;" bis "&amp;AB$220&amp;" m/s"))</f>
        <v/>
      </c>
      <c r="Z221" s="223"/>
      <c r="AA221" s="319"/>
      <c r="AB221" s="83"/>
      <c r="AD221" s="283"/>
      <c r="AF221" s="49"/>
      <c r="AG221" s="59"/>
      <c r="AH221" s="312"/>
      <c r="AI221" s="25"/>
      <c r="AJ221" s="25"/>
      <c r="AK221" s="25"/>
      <c r="AL221" s="25"/>
      <c r="AM221" s="11"/>
      <c r="AN221" s="11"/>
      <c r="AO221" s="60" t="s">
        <v>461</v>
      </c>
      <c r="AP221" s="159">
        <v>2.1</v>
      </c>
      <c r="AQ221" s="57"/>
      <c r="AR221" s="159">
        <v>2</v>
      </c>
      <c r="AS221" s="57"/>
      <c r="AT221" s="159">
        <v>1.9</v>
      </c>
      <c r="AU221" s="57"/>
      <c r="AV221" s="159">
        <v>1.7</v>
      </c>
      <c r="AW221" s="1"/>
      <c r="AX221" s="22">
        <f>IF('(1) Grundlagen'!$H$66="Obere Forellenregion",AP221,IF('(1) Grundlagen'!$H$66="Untere Forellenregion",AR221,IF('(1) Grundlagen'!$H$66="Äschenregion",AT221,AV221)))</f>
        <v>1.9</v>
      </c>
    </row>
    <row r="222" spans="3:50" s="5" customFormat="1" ht="15" customHeight="1" x14ac:dyDescent="0.25">
      <c r="C222" s="28"/>
      <c r="D222" s="32"/>
      <c r="E222" s="259"/>
      <c r="F222" s="170" t="str">
        <f>IF('(1) Grundlagen'!$H$66="Bitte wählen","","&gt; Grenzwert")</f>
        <v>&gt; Grenzwert</v>
      </c>
      <c r="G222" s="28"/>
      <c r="H222" s="28"/>
      <c r="I222" s="128" t="str">
        <f>IF('(3) Variantenbewertung'!I$26&gt;2,"",IF(OR(J$225="Bauweise wählen",J$226="Bauweise / Betriebsbedingungen wählen"),"","&gt; "&amp;L$220&amp;" m/s"))</f>
        <v>&gt; 1.5 m/s</v>
      </c>
      <c r="J222" s="223"/>
      <c r="K222" s="320"/>
      <c r="L222" s="83"/>
      <c r="M222" s="128" t="str">
        <f>IF('(3) Variantenbewertung'!L$26&gt;2,"",IF(OR(N$225="Bauweise wählen",N$226="Bauweise / Betriebsbedingungen wählen"),"","&gt; "&amp;P$220&amp;" m/s"))</f>
        <v/>
      </c>
      <c r="N222" s="223"/>
      <c r="O222" s="320"/>
      <c r="P222" s="83"/>
      <c r="Q222" s="128" t="str">
        <f>IF('(3) Variantenbewertung'!O$26&gt;2,"",IF(OR(R$225="Bauweise wählen",R$226="Bauweise / Betriebsbedingungen wählen"),"","&gt; "&amp;T$220&amp;" m/s"))</f>
        <v>&gt; 1.5 m/s</v>
      </c>
      <c r="R222" s="223"/>
      <c r="S222" s="320"/>
      <c r="T222" s="83"/>
      <c r="U222" s="128" t="str">
        <f>IF('(3) Variantenbewertung'!R$26&gt;2,"",IF(OR(V$225="Bauweise wählen",V$226="Bauweise / Betriebsbedingungen wählen"),"","&gt; "&amp;X$220&amp;" m/s"))</f>
        <v/>
      </c>
      <c r="V222" s="223"/>
      <c r="W222" s="320"/>
      <c r="X222" s="83"/>
      <c r="Y222" s="128" t="str">
        <f>IF('(3) Variantenbewertung'!U$26&gt;2,"",IF(OR(Z$225="Bauweise wählen",Z$226="Bauweise / Betriebsbedingungen wählen"),"","&gt; "&amp;AB$220&amp;" m/s"))</f>
        <v/>
      </c>
      <c r="Z222" s="223"/>
      <c r="AA222" s="320"/>
      <c r="AB222" s="83"/>
      <c r="AD222" s="283"/>
      <c r="AF222" s="50"/>
      <c r="AG222" s="58"/>
      <c r="AH222" s="303"/>
      <c r="AI222" s="25"/>
      <c r="AJ222" s="25"/>
      <c r="AK222" s="25"/>
      <c r="AL222" s="25"/>
      <c r="AM222" s="9"/>
      <c r="AN222" s="9"/>
      <c r="AO222" s="60" t="s">
        <v>474</v>
      </c>
      <c r="AP222" s="159">
        <v>1.9</v>
      </c>
      <c r="AQ222" s="57"/>
      <c r="AR222" s="159">
        <v>1.8</v>
      </c>
      <c r="AS222" s="57"/>
      <c r="AT222" s="159">
        <v>1.8</v>
      </c>
      <c r="AU222" s="57"/>
      <c r="AV222" s="159">
        <v>1.6</v>
      </c>
      <c r="AW222" s="1"/>
      <c r="AX222" s="22">
        <f>IF('(1) Grundlagen'!$H$66="Obere Forellenregion",AP222,IF('(1) Grundlagen'!$H$66="Untere Forellenregion",AR222,IF('(1) Grundlagen'!$H$66="Äschenregion",AT222,AV222)))</f>
        <v>1.8</v>
      </c>
    </row>
    <row r="223" spans="3:50" s="5" customFormat="1" ht="15" customHeight="1" x14ac:dyDescent="0.25">
      <c r="C223" s="28"/>
      <c r="D223" s="28"/>
      <c r="E223" s="28"/>
      <c r="F223" s="28"/>
      <c r="G223" s="28"/>
      <c r="H223" s="28"/>
      <c r="I223" s="28"/>
      <c r="J223" s="25" t="b">
        <f>IF(I214="DEAKTIVIERT","",IF('(1) Grundlagen'!$H$66="Bitte wählen","FEHLER",IF(COUNT(J214:J222)&lt;&gt;1,"WERT?",IF(I$214="FEHLER","FEHLER",IF(ISNUMBER(J214),IF(J214&lt;=ROUND($L$214*J$225*J$226,1),"gut",IF(AND(J214&gt;ROUND($L$214*J$225*J$226,1),J214&lt;=$L$214),"mässig","schlecht")),IF(ISNUMBER(J217),IF(J217&lt;=ROUND($L$217*J$225*J$226,1),"gut",IF(AND(J217&gt;ROUND($L$217*J$225*J$226,1),J217&lt;=$L$217),"mässig","schlecht")),IF(ISNUMBER(#REF!),IF(#REF!&lt;=ROUND($L$220*J$225*J$226,1),"gut",IF(AND(#REF!&gt;ROUND($L$220*J$225*J$226,1),#REF!&lt;=$L$220),"mässig","schlecht")))))))))</f>
        <v>0</v>
      </c>
      <c r="K223" s="99" t="s">
        <v>45</v>
      </c>
      <c r="L223" s="20"/>
      <c r="M223" s="18"/>
      <c r="N223" s="25" t="str">
        <f>IF(M214="DEAKTIVIERT","",IF('(1) Grundlagen'!$H$66="Bitte wählen","FEHLER",IF(COUNT(N214:N222)&lt;&gt;1,"WERT?",IF(M$214="FEHLER","FEHLER",IF(ISNUMBER(N214),IF(N214&lt;=ROUND($L$214*N$225*N$226,1),"gut",IF(AND(N214&gt;ROUND($L$214*N$225*N$226,1),N214&lt;=$L$214),"mässig","schlecht")),IF(ISNUMBER(N217),IF(N217&lt;=ROUND($L$217*N$225*N$226,1),"gut",IF(AND(N217&gt;ROUND($L$217*N$225*N$226,1),N217&lt;=$L$217),"mässig","schlecht")),IF(ISNUMBER(#REF!),IF(#REF!&lt;=ROUND($L$220*N$225*N$226,1),"gut",IF(AND(#REF!&gt;ROUND($L$220*N$225*N$226,1),#REF!&lt;=$L$220),"mässig","schlecht")))))))))</f>
        <v/>
      </c>
      <c r="O223" s="99" t="s">
        <v>45</v>
      </c>
      <c r="P223" s="20"/>
      <c r="Q223" s="18"/>
      <c r="R223" s="25" t="str">
        <f>IF(Q214="DEAKTIVIERT","",IF('(1) Grundlagen'!$H$66="Bitte wählen","FEHLER",IF(COUNT(R214:R222)&lt;&gt;1,"WERT?",IF(Q$214="FEHLER","FEHLER",IF(ISNUMBER(R214),IF(R214&lt;=ROUND($L$214*R$225*R$226,1),"gut",IF(AND(R214&gt;ROUND($L$214*R$225*R$226,1),R214&lt;=$L$214),"mässig","schlecht")),IF(ISNUMBER(R217),IF(R217&lt;=ROUND($L$217*R$225*R$226,1),"gut",IF(AND(R217&gt;ROUND($L$217*R$225*R$226,1),R217&lt;=$L$217),"mässig","schlecht")),IF(ISNUMBER(#REF!),IF(#REF!&lt;=ROUND($L$220*R$225*R$226,1),"gut",IF(AND(#REF!&gt;ROUND($L$220*R$225*R$226,1),#REF!&lt;=$L$220),"mässig","schlecht")))))))))</f>
        <v>mässig</v>
      </c>
      <c r="S223" s="99" t="s">
        <v>45</v>
      </c>
      <c r="T223" s="20"/>
      <c r="U223" s="18"/>
      <c r="V223" s="25" t="str">
        <f>IF(U214="DEAKTIVIERT","",IF('(1) Grundlagen'!$H$66="Bitte wählen","FEHLER",IF(COUNT(V214:V222)&lt;&gt;1,"WERT?",IF(U$214="FEHLER","FEHLER",IF(ISNUMBER(V214),IF(V214&lt;=ROUND($L$214*V$225*V$226,1),"gut",IF(AND(V214&gt;ROUND($L$214*V$225*V$226,1),V214&lt;=$L$214),"mässig","schlecht")),IF(ISNUMBER(V217),IF(V217&lt;=ROUND($L$217*V$225*V$226,1),"gut",IF(AND(V217&gt;ROUND($L$217*V$225*V$226,1),V217&lt;=$L$217),"mässig","schlecht")),IF(ISNUMBER(#REF!),IF(#REF!&lt;=ROUND($L$220*V$225*V$226,1),"gut",IF(AND(#REF!&gt;ROUND($L$220*V$225*V$226,1),#REF!&lt;=$L$220),"mässig","schlecht")))))))))</f>
        <v/>
      </c>
      <c r="W223" s="99" t="s">
        <v>45</v>
      </c>
      <c r="X223" s="20"/>
      <c r="Y223" s="18"/>
      <c r="Z223" s="25" t="str">
        <f>IF(Y214="DEAKTIVIERT","",IF('(1) Grundlagen'!$H$66="Bitte wählen","FEHLER",IF(COUNT(Z214:Z222)&lt;&gt;1,"WERT?",IF(Y$214="FEHLER","FEHLER",IF(ISNUMBER(Z214),IF(Z214&lt;=ROUND($L$214*Z$225*Z$226,1),"gut",IF(AND(Z214&gt;ROUND($L$214*Z$225*Z$226,1),Z214&lt;=$L$214),"mässig","schlecht")),IF(ISNUMBER(Z217),IF(Z217&lt;=ROUND($L$217*Z$225*Z$226,1),"gut",IF(AND(Z217&gt;ROUND($L$217*Z$225*Z$226,1),Z217&lt;=$L$217),"mässig","schlecht")),IF(ISNUMBER(#REF!),IF(#REF!&lt;=ROUND($L$220*Z$225*Z$226,1),"gut",IF(AND(#REF!&gt;ROUND($L$220*Z$225*Z$226,1),#REF!&lt;=$L$220),"mässig","schlecht")))))))))</f>
        <v/>
      </c>
      <c r="AA223" s="99" t="s">
        <v>45</v>
      </c>
      <c r="AB223" s="18"/>
      <c r="AD223" s="283"/>
      <c r="AF223" s="28"/>
      <c r="AG223" s="28"/>
      <c r="AH223" s="28"/>
      <c r="AI223" s="27"/>
      <c r="AJ223" s="28"/>
      <c r="AK223" s="28"/>
      <c r="AL223" s="28"/>
      <c r="AO223" s="60" t="s">
        <v>79</v>
      </c>
      <c r="AP223" s="159">
        <v>1.7</v>
      </c>
      <c r="AQ223" s="57"/>
      <c r="AR223" s="159">
        <v>1.6</v>
      </c>
      <c r="AS223" s="57"/>
      <c r="AT223" s="159">
        <v>1.5</v>
      </c>
      <c r="AU223" s="57"/>
      <c r="AV223" s="159">
        <v>1.4</v>
      </c>
      <c r="AW223" s="1"/>
      <c r="AX223" s="22">
        <f>IF('(1) Grundlagen'!$H$66="Obere Forellenregion",AP223,IF('(1) Grundlagen'!$H$66="Untere Forellenregion",AR223,IF('(1) Grundlagen'!$H$66="Äschenregion",AT223,AV223)))</f>
        <v>1.5</v>
      </c>
    </row>
    <row r="224" spans="3:50" s="5" customFormat="1" ht="15" customHeight="1" x14ac:dyDescent="0.25">
      <c r="C224" s="28"/>
      <c r="D224" s="28"/>
      <c r="E224" s="28"/>
      <c r="F224" s="28"/>
      <c r="G224" s="28"/>
      <c r="H224" s="28"/>
      <c r="I224" s="28"/>
      <c r="J224" s="18"/>
      <c r="K224" s="18"/>
      <c r="L224" s="18"/>
      <c r="M224" s="18"/>
      <c r="N224" s="18"/>
      <c r="O224" s="18"/>
      <c r="P224" s="18"/>
      <c r="Q224" s="18"/>
      <c r="R224" s="18"/>
      <c r="S224" s="18"/>
      <c r="T224" s="18"/>
      <c r="U224" s="18"/>
      <c r="V224" s="18"/>
      <c r="W224" s="18"/>
      <c r="X224" s="18"/>
      <c r="Y224" s="18"/>
      <c r="Z224" s="18"/>
      <c r="AA224" s="18"/>
      <c r="AB224" s="18"/>
      <c r="AD224" s="283"/>
      <c r="AF224" s="28"/>
      <c r="AG224" s="28"/>
      <c r="AH224" s="28"/>
      <c r="AI224" s="27"/>
      <c r="AJ224" s="28"/>
      <c r="AK224" s="28"/>
      <c r="AL224" s="28"/>
    </row>
    <row r="225" spans="3:45" s="5" customFormat="1" ht="15" customHeight="1" x14ac:dyDescent="0.25">
      <c r="J225" s="139">
        <f>'(3) Variantenbewertung'!I$30</f>
        <v>0.8</v>
      </c>
      <c r="K225" s="140"/>
      <c r="L225" s="139"/>
      <c r="M225" s="139"/>
      <c r="N225" s="139">
        <f>'(3) Variantenbewertung'!L$30</f>
        <v>0.95</v>
      </c>
      <c r="O225" s="140"/>
      <c r="P225" s="139"/>
      <c r="Q225" s="139"/>
      <c r="R225" s="139">
        <f>'(3) Variantenbewertung'!O$30</f>
        <v>0.8</v>
      </c>
      <c r="S225" s="140"/>
      <c r="T225" s="139"/>
      <c r="U225" s="139"/>
      <c r="V225" s="139" t="str">
        <f>'(3) Variantenbewertung'!R$30</f>
        <v>Bauweise wählen</v>
      </c>
      <c r="W225" s="140"/>
      <c r="X225" s="139"/>
      <c r="Y225" s="139"/>
      <c r="Z225" s="139" t="str">
        <f>'(3) Variantenbewertung'!U$30</f>
        <v>Bauweise wählen</v>
      </c>
      <c r="AA225" s="1"/>
      <c r="AB225" s="1"/>
      <c r="AD225" s="283"/>
      <c r="AI225" s="6"/>
    </row>
    <row r="226" spans="3:45" s="5" customFormat="1" ht="15" customHeight="1" x14ac:dyDescent="0.25">
      <c r="J226" s="139">
        <f>'(3) Variantenbewertung'!I$35</f>
        <v>1</v>
      </c>
      <c r="K226" s="140"/>
      <c r="L226" s="139"/>
      <c r="M226" s="139"/>
      <c r="N226" s="139">
        <f>'(3) Variantenbewertung'!L$35</f>
        <v>0.95</v>
      </c>
      <c r="O226" s="140"/>
      <c r="P226" s="139"/>
      <c r="Q226" s="139"/>
      <c r="R226" s="139">
        <f>'(3) Variantenbewertung'!O$35</f>
        <v>1</v>
      </c>
      <c r="S226" s="140"/>
      <c r="T226" s="139"/>
      <c r="U226" s="139"/>
      <c r="V226" s="139" t="str">
        <f>'(3) Variantenbewertung'!R$35</f>
        <v/>
      </c>
      <c r="W226" s="140"/>
      <c r="X226" s="139"/>
      <c r="Y226" s="139"/>
      <c r="Z226" s="139" t="str">
        <f>'(3) Variantenbewertung'!U$35</f>
        <v/>
      </c>
      <c r="AA226" s="1"/>
      <c r="AB226" s="1"/>
      <c r="AD226" s="283"/>
      <c r="AI226" s="6"/>
    </row>
    <row r="227" spans="3:45" s="5" customFormat="1" ht="15" customHeight="1" x14ac:dyDescent="0.25">
      <c r="C227" s="266" t="s">
        <v>360</v>
      </c>
      <c r="D227" s="266"/>
      <c r="E227" s="266"/>
      <c r="F227" s="266"/>
      <c r="G227" s="28"/>
      <c r="H227" s="28"/>
      <c r="I227" s="28"/>
      <c r="J227" s="18"/>
      <c r="K227" s="18"/>
      <c r="L227" s="18"/>
      <c r="M227" s="18"/>
      <c r="N227" s="18"/>
      <c r="O227" s="18"/>
      <c r="P227" s="18"/>
      <c r="Q227" s="18"/>
      <c r="R227" s="18"/>
      <c r="S227" s="18"/>
      <c r="T227" s="18"/>
      <c r="U227" s="18"/>
      <c r="V227" s="18"/>
      <c r="W227" s="18"/>
      <c r="X227" s="18"/>
      <c r="Y227" s="18"/>
      <c r="Z227" s="18"/>
      <c r="AA227" s="18"/>
      <c r="AB227" s="18"/>
      <c r="AD227" s="304" t="s">
        <v>44</v>
      </c>
      <c r="AF227" s="28"/>
      <c r="AG227" s="28"/>
      <c r="AH227" s="28"/>
      <c r="AI227" s="27"/>
      <c r="AJ227" s="28"/>
      <c r="AK227" s="28"/>
      <c r="AL227" s="28"/>
    </row>
    <row r="228" spans="3:45" s="5" customFormat="1" ht="15" customHeight="1" x14ac:dyDescent="0.25">
      <c r="C228" s="28"/>
      <c r="D228" s="321" t="s">
        <v>220</v>
      </c>
      <c r="E228" s="321"/>
      <c r="F228" s="321"/>
      <c r="G228" s="321"/>
      <c r="H228" s="181"/>
      <c r="I228" s="70"/>
      <c r="J228" s="316" t="str">
        <f>IF(ISBLANK('(3) Variantenbewertung'!$I$11),"",'(3) Variantenbewertung'!$I$11)</f>
        <v>V1</v>
      </c>
      <c r="K228" s="316"/>
      <c r="L228" s="18"/>
      <c r="M228" s="18"/>
      <c r="N228" s="316" t="str">
        <f>IF(ISBLANK('(3) Variantenbewertung'!$L$11),"",'(3) Variantenbewertung'!$L$11)</f>
        <v>V2</v>
      </c>
      <c r="O228" s="316"/>
      <c r="P228" s="18"/>
      <c r="Q228" s="18"/>
      <c r="R228" s="316" t="str">
        <f>IF(ISBLANK('(3) Variantenbewertung'!$O$11),"",'(3) Variantenbewertung'!$O$11)</f>
        <v>V3</v>
      </c>
      <c r="S228" s="316"/>
      <c r="T228" s="55"/>
      <c r="U228" s="18"/>
      <c r="V228" s="316" t="str">
        <f>IF(ISBLANK('(3) Variantenbewertung'!$R$11),"",'(3) Variantenbewertung'!$R$11)</f>
        <v/>
      </c>
      <c r="W228" s="316"/>
      <c r="X228" s="18"/>
      <c r="Y228" s="18"/>
      <c r="Z228" s="316" t="str">
        <f>IF(ISBLANK('(3) Variantenbewertung'!$U$11),"",'(3) Variantenbewertung'!$U$11)</f>
        <v/>
      </c>
      <c r="AA228" s="316"/>
      <c r="AB228" s="18"/>
      <c r="AD228" s="304"/>
      <c r="AF228" s="28"/>
      <c r="AG228" s="28"/>
      <c r="AH228" s="266"/>
      <c r="AI228" s="266"/>
      <c r="AJ228" s="266"/>
      <c r="AK228" s="266"/>
      <c r="AL228" s="266"/>
      <c r="AO228" s="7"/>
    </row>
    <row r="229" spans="3:45" s="5" customFormat="1" ht="15" customHeight="1" x14ac:dyDescent="0.25">
      <c r="C229" s="28"/>
      <c r="D229" s="321"/>
      <c r="E229" s="321"/>
      <c r="F229" s="321"/>
      <c r="G229" s="321"/>
      <c r="H229" s="181"/>
      <c r="I229" s="28"/>
      <c r="J229" s="132" t="s">
        <v>221</v>
      </c>
      <c r="K229" s="133" t="s">
        <v>222</v>
      </c>
      <c r="L229" s="126"/>
      <c r="M229" s="17"/>
      <c r="N229" s="132" t="s">
        <v>221</v>
      </c>
      <c r="O229" s="133" t="s">
        <v>222</v>
      </c>
      <c r="P229" s="126"/>
      <c r="Q229" s="17"/>
      <c r="R229" s="132" t="s">
        <v>221</v>
      </c>
      <c r="S229" s="133" t="s">
        <v>222</v>
      </c>
      <c r="T229" s="126"/>
      <c r="U229" s="17"/>
      <c r="V229" s="132" t="s">
        <v>221</v>
      </c>
      <c r="W229" s="133" t="s">
        <v>222</v>
      </c>
      <c r="X229" s="126"/>
      <c r="Y229" s="17"/>
      <c r="Z229" s="132" t="s">
        <v>221</v>
      </c>
      <c r="AA229" s="133" t="s">
        <v>222</v>
      </c>
      <c r="AB229" s="17"/>
      <c r="AD229" s="51"/>
      <c r="AF229" s="27"/>
      <c r="AG229" s="28"/>
      <c r="AH229" s="27"/>
      <c r="AI229" s="28"/>
      <c r="AJ229" s="28"/>
      <c r="AK229" s="28"/>
      <c r="AL229" s="17"/>
      <c r="AO229" s="19"/>
    </row>
    <row r="230" spans="3:45" s="5" customFormat="1" ht="15" customHeight="1" x14ac:dyDescent="0.25">
      <c r="C230" s="28"/>
      <c r="D230" s="28"/>
      <c r="E230" s="28"/>
      <c r="F230" s="28"/>
      <c r="G230" s="28"/>
      <c r="H230" s="28"/>
      <c r="I230" s="28"/>
      <c r="J230" s="25" t="s">
        <v>247</v>
      </c>
      <c r="K230" s="53" t="str">
        <f>IF(NOT(K234="keine Korrektur"),"Bitte begründen:","")</f>
        <v/>
      </c>
      <c r="L230" s="20"/>
      <c r="M230" s="20"/>
      <c r="N230" s="25" t="s">
        <v>247</v>
      </c>
      <c r="O230" s="53" t="str">
        <f>IF(NOT(O234="keine Korrektur"),"Bitte begründen:","")</f>
        <v/>
      </c>
      <c r="P230" s="20"/>
      <c r="Q230" s="20"/>
      <c r="R230" s="25" t="s">
        <v>247</v>
      </c>
      <c r="S230" s="53" t="str">
        <f>IF(NOT(S234="keine Korrektur"),"Bitte begründen:","")</f>
        <v/>
      </c>
      <c r="T230" s="20"/>
      <c r="U230" s="20"/>
      <c r="V230" s="25" t="s">
        <v>247</v>
      </c>
      <c r="W230" s="53" t="str">
        <f>IF(NOT(W234="keine Korrektur"),"Bitte begründen:","")</f>
        <v/>
      </c>
      <c r="X230" s="20"/>
      <c r="Y230" s="20"/>
      <c r="Z230" s="25" t="s">
        <v>247</v>
      </c>
      <c r="AA230" s="53" t="str">
        <f>IF(NOT(AA234="keine Korrektur"),"Bitte begründen:","")</f>
        <v/>
      </c>
      <c r="AB230" s="17"/>
      <c r="AD230" s="51"/>
      <c r="AF230" s="20"/>
      <c r="AG230" s="299" t="s">
        <v>253</v>
      </c>
      <c r="AH230" s="300"/>
      <c r="AI230" s="292" t="s">
        <v>11</v>
      </c>
      <c r="AJ230" s="293"/>
      <c r="AK230" s="292" t="s">
        <v>12</v>
      </c>
      <c r="AL230" s="293"/>
      <c r="AM230" s="6"/>
      <c r="AN230" s="6"/>
      <c r="AO230" s="9"/>
    </row>
    <row r="231" spans="3:45" s="5" customFormat="1" ht="15" customHeight="1" x14ac:dyDescent="0.25">
      <c r="C231" s="28"/>
      <c r="D231" s="30"/>
      <c r="E231" s="265" t="str">
        <f>IF('(1) Grundlagen'!$H$66="Bitte wählen","Bitte auf Blatt (1) Fischregion wählen","&gt; Bemessungswert")</f>
        <v>&gt; Bemessungswert</v>
      </c>
      <c r="F231" s="265"/>
      <c r="G231" s="28"/>
      <c r="H231" s="28"/>
      <c r="I231" s="128" t="str">
        <f>IF(OR(J$236="Bauweise wählen",J$237="Bauweise / Betriebsbedingungen wählen"),"FEHLER",IF('(1) Grundlagen'!$H$67="Bitte wählen","Bitte auf Blatt (1) Auswahl bez. Lachs / Seeforelle treffen",IF('(1) Grundlagen'!$H$67="ja","&gt; "&amp;ROUND(0.3/J$236/J$237,2)&amp;" m/s","&gt; "&amp;ROUND(0.2/J$236/J$237,2)&amp;" m/s")))</f>
        <v>&gt; 0.38 m/s</v>
      </c>
      <c r="J231" s="223">
        <v>0.42</v>
      </c>
      <c r="K231" s="315"/>
      <c r="L231" s="20"/>
      <c r="M231" s="128" t="str">
        <f>IF(OR(N$236="Bauweise wählen",N$237="Bauweise / Betriebsbedingungen wählen"),"FEHLER",IF('(1) Grundlagen'!$H$67="Bitte wählen","Bitte auf Blatt (1) Auswahl bez. Lachs / Seeforelle treffen",IF('(1) Grundlagen'!$H$67="ja","&gt; "&amp;ROUND(0.3/N$236/N$237,2)&amp;" m/s","&gt; "&amp;ROUND(0.2/N$236/N$237,2)&amp;" m/s")))</f>
        <v>&gt; 0.33 m/s</v>
      </c>
      <c r="N231" s="223">
        <v>0.35</v>
      </c>
      <c r="O231" s="315"/>
      <c r="P231" s="20"/>
      <c r="Q231" s="128" t="str">
        <f>IF(OR(R$236="Bauweise wählen",R$237="Bauweise / Betriebsbedingungen wählen"),"FEHLER",IF('(1) Grundlagen'!$H$67="Bitte wählen","Bitte auf Blatt (1) Auswahl bez. Lachs / Seeforelle treffen",IF('(1) Grundlagen'!$H$67="ja","&gt; "&amp;ROUND(0.3/R$236/R$237,2)&amp;" m/s","&gt; "&amp;ROUND(0.2/R$236/R$237,2)&amp;" m/s")))</f>
        <v>&gt; 0.38 m/s</v>
      </c>
      <c r="R231" s="223">
        <v>0.47</v>
      </c>
      <c r="S231" s="315"/>
      <c r="T231" s="20"/>
      <c r="U231" s="128" t="str">
        <f>IF(OR(V$236="Bauweise wählen",V$237="Bauweise / Betriebsbedingungen wählen"),"FEHLER",IF('(1) Grundlagen'!$H$67="Bitte wählen","Bitte auf Blatt (1) Auswahl bez. Lachs / Seeforelle treffen",IF('(1) Grundlagen'!$H$67="ja","&gt; "&amp;ROUND(0.3/V$236/V$237,2)&amp;" m/s","&gt; "&amp;ROUND(0.2/V$236/V$237,2)&amp;" m/s")))</f>
        <v>FEHLER</v>
      </c>
      <c r="V231" s="223"/>
      <c r="W231" s="315"/>
      <c r="X231" s="20"/>
      <c r="Y231" s="128" t="str">
        <f>IF(OR(Z$236="Bauweise wählen",Z$237="Bauweise / Betriebsbedingungen wählen"),"FEHLER",IF('(1) Grundlagen'!$H$67="Bitte wählen","Bitte auf Blatt (1) Auswahl bez. Lachs / Seeforelle treffen",IF('(1) Grundlagen'!$H$67="ja","&gt; "&amp;ROUND(0.3/Z$236/Z$237,2)&amp;" m/s","&gt; "&amp;ROUND(0.2/Z$236/Z$237,2)&amp;" m/s")))</f>
        <v>FEHLER</v>
      </c>
      <c r="Z231" s="223"/>
      <c r="AA231" s="315"/>
      <c r="AB231" s="18"/>
      <c r="AD231" s="51"/>
      <c r="AF231" s="48"/>
      <c r="AG231" s="305" t="s">
        <v>10</v>
      </c>
      <c r="AH231" s="306"/>
      <c r="AI231" s="295" t="s">
        <v>104</v>
      </c>
      <c r="AJ231" s="297"/>
      <c r="AK231" s="295" t="s">
        <v>103</v>
      </c>
      <c r="AL231" s="297"/>
    </row>
    <row r="232" spans="3:45" s="5" customFormat="1" ht="15" customHeight="1" x14ac:dyDescent="0.25">
      <c r="C232" s="28"/>
      <c r="D232" s="31"/>
      <c r="E232" s="265" t="str">
        <f>IF('(1) Grundlagen'!$H$66="Bitte wählen","","Grenzwert bis Bemessungswert")</f>
        <v>Grenzwert bis Bemessungswert</v>
      </c>
      <c r="F232" s="265"/>
      <c r="G232" s="28"/>
      <c r="H232" s="28"/>
      <c r="I232" s="128" t="str">
        <f>IF(OR(J$236="Bauweise wählen",J$237="Bauweise / Betriebsbedingungen wählen"),"",IF('(1) Grundlagen'!$H$67="Bitte wählen","Bitte auf Blatt (1) Auswahl bez. Lachs / Seeforelle treffen",IF('(1) Grundlagen'!$H$67="ja",0.3&amp;" bis "&amp;ROUND(0.3/J$236/J$237,2)&amp;" m/s",0.2&amp;" bis "&amp;ROUND(0.2/J$236/J$237,2)&amp;" m/s")))</f>
        <v>0.3 bis 0.38 m/s</v>
      </c>
      <c r="J232" s="223"/>
      <c r="K232" s="315"/>
      <c r="L232" s="20"/>
      <c r="M232" s="128" t="str">
        <f>IF(OR(N$236="Bauweise wählen",N$237="Bauweise / Betriebsbedingungen wählen"),"",IF('(1) Grundlagen'!$H$67="Bitte wählen","Bitte auf Blatt (1) Auswahl bez. Lachs / Seeforelle treffen",IF('(1) Grundlagen'!$H$67="ja",0.3&amp;" bis "&amp;ROUND(0.3/N$236/N$237,2)&amp;" m/s",0.2&amp;" bis "&amp;ROUND(0.2/N$236/N$237,2)&amp;" m/s")))</f>
        <v>0.3 bis 0.33 m/s</v>
      </c>
      <c r="N232" s="223"/>
      <c r="O232" s="315"/>
      <c r="P232" s="20"/>
      <c r="Q232" s="128" t="str">
        <f>IF(OR(R$236="Bauweise wählen",R$237="Bauweise / Betriebsbedingungen wählen"),"",IF('(1) Grundlagen'!$H$67="Bitte wählen","Bitte auf Blatt (1) Auswahl bez. Lachs / Seeforelle treffen",IF('(1) Grundlagen'!$H$67="ja",0.3&amp;" bis "&amp;ROUND(0.3/R$236/R$237,2)&amp;" m/s",0.2&amp;" bis "&amp;ROUND(0.2/R$236/R$237,2)&amp;" m/s")))</f>
        <v>0.3 bis 0.38 m/s</v>
      </c>
      <c r="R232" s="223"/>
      <c r="S232" s="315"/>
      <c r="T232" s="20"/>
      <c r="U232" s="128" t="str">
        <f>IF(OR(V$236="Bauweise wählen",V$237="Bauweise / Betriebsbedingungen wählen"),"",IF('(1) Grundlagen'!$H$67="Bitte wählen","Bitte auf Blatt (1) Auswahl bez. Lachs / Seeforelle treffen",IF('(1) Grundlagen'!$H$67="ja",0.3&amp;" bis "&amp;ROUND(0.3/V$236/V$237,2)&amp;" m/s",0.2&amp;" bis "&amp;ROUND(0.2/V$236/V$237,2)&amp;" m/s")))</f>
        <v/>
      </c>
      <c r="V232" s="223"/>
      <c r="W232" s="315"/>
      <c r="X232" s="20"/>
      <c r="Y232" s="128" t="str">
        <f>IF(OR(Z$236="Bauweise wählen",Z$237="Bauweise / Betriebsbedingungen wählen"),"",IF('(1) Grundlagen'!$H$67="Bitte wählen","Bitte auf Blatt (1) Auswahl bez. Lachs / Seeforelle treffen",IF('(1) Grundlagen'!$H$67="ja",0.3&amp;" bis "&amp;ROUND(0.3/Z$236/Z$237,2)&amp;" m/s",0.2&amp;" bis "&amp;ROUND(0.2/Z$236/Z$237,2)&amp;" m/s")))</f>
        <v/>
      </c>
      <c r="Z232" s="223"/>
      <c r="AA232" s="315"/>
      <c r="AB232" s="18"/>
      <c r="AD232" s="51"/>
      <c r="AF232" s="49"/>
      <c r="AG232" s="305" t="s">
        <v>42</v>
      </c>
      <c r="AH232" s="306"/>
      <c r="AI232" s="295" t="s">
        <v>105</v>
      </c>
      <c r="AJ232" s="297"/>
      <c r="AK232" s="295" t="s">
        <v>107</v>
      </c>
      <c r="AL232" s="297"/>
    </row>
    <row r="233" spans="3:45" s="5" customFormat="1" ht="15" customHeight="1" x14ac:dyDescent="0.25">
      <c r="C233" s="28"/>
      <c r="D233" s="32"/>
      <c r="E233" s="265" t="str">
        <f>IF('(1) Grundlagen'!$H$66="Bitte wählen","","&lt; Grenzwert")</f>
        <v>&lt; Grenzwert</v>
      </c>
      <c r="F233" s="265"/>
      <c r="G233" s="28"/>
      <c r="H233" s="28"/>
      <c r="I233" s="128" t="str">
        <f>IF(OR(J$236="Bauweise wählen",J$237="Bauweise / Betriebsbedingungen wählen"),"",IF('(1) Grundlagen'!$H$67="Bitte wählen","Bitte auf Blatt (1) Auswahl bez. Lachs / Seeforelle treffen",IF('(1) Grundlagen'!$H$67="ja","&lt; "&amp;0.3&amp;" m/s","&lt; "&amp;0.2&amp;" m/s")))</f>
        <v>&lt; 0.3 m/s</v>
      </c>
      <c r="J233" s="223"/>
      <c r="K233" s="315"/>
      <c r="L233" s="20"/>
      <c r="M233" s="128" t="str">
        <f>IF(OR(N$236="Bauweise wählen",N$237="Bauweise / Betriebsbedingungen wählen"),"",IF('(1) Grundlagen'!$H$67="Bitte wählen","Bitte auf Blatt (1) Auswahl bez. Lachs / Seeforelle treffen",IF('(1) Grundlagen'!$H$67="ja","&lt; "&amp;0.3&amp;" m/s","&lt; "&amp;0.2&amp;" m/s")))</f>
        <v>&lt; 0.3 m/s</v>
      </c>
      <c r="N233" s="223"/>
      <c r="O233" s="315"/>
      <c r="P233" s="20"/>
      <c r="Q233" s="128" t="str">
        <f>IF(OR(R$236="Bauweise wählen",R$237="Bauweise / Betriebsbedingungen wählen"),"",IF('(1) Grundlagen'!$H$67="Bitte wählen","Bitte auf Blatt (1) Auswahl bez. Lachs / Seeforelle treffen",IF('(1) Grundlagen'!$H$67="ja","&lt; "&amp;0.3&amp;" m/s","&lt; "&amp;0.2&amp;" m/s")))</f>
        <v>&lt; 0.3 m/s</v>
      </c>
      <c r="R233" s="223"/>
      <c r="S233" s="315"/>
      <c r="T233" s="20"/>
      <c r="U233" s="128" t="str">
        <f>IF(OR(V$236="Bauweise wählen",V$237="Bauweise / Betriebsbedingungen wählen"),"",IF('(1) Grundlagen'!$H$67="Bitte wählen","Bitte auf Blatt (1) Auswahl bez. Lachs / Seeforelle treffen",IF('(1) Grundlagen'!$H$67="ja","&lt; "&amp;0.3&amp;" m/s","&lt; "&amp;0.2&amp;" m/s")))</f>
        <v/>
      </c>
      <c r="V233" s="223"/>
      <c r="W233" s="315"/>
      <c r="X233" s="20"/>
      <c r="Y233" s="128" t="str">
        <f>IF(OR(Z$236="Bauweise wählen",Z$237="Bauweise / Betriebsbedingungen wählen"),"",IF('(1) Grundlagen'!$H$67="Bitte wählen","Bitte auf Blatt (1) Auswahl bez. Lachs / Seeforelle treffen",IF('(1) Grundlagen'!$H$67="ja","&lt; "&amp;0.3&amp;" m/s","&lt; "&amp;0.2&amp;" m/s")))</f>
        <v/>
      </c>
      <c r="Z233" s="223"/>
      <c r="AA233" s="315"/>
      <c r="AB233" s="18"/>
      <c r="AD233" s="51"/>
      <c r="AF233" s="50"/>
      <c r="AG233" s="305" t="s">
        <v>43</v>
      </c>
      <c r="AH233" s="306"/>
      <c r="AI233" s="295" t="s">
        <v>106</v>
      </c>
      <c r="AJ233" s="297"/>
      <c r="AK233" s="295" t="s">
        <v>108</v>
      </c>
      <c r="AL233" s="297"/>
    </row>
    <row r="234" spans="3:45" s="5" customFormat="1" ht="15" customHeight="1" x14ac:dyDescent="0.25">
      <c r="C234" s="28"/>
      <c r="D234" s="28"/>
      <c r="E234" s="28"/>
      <c r="F234" s="28"/>
      <c r="G234" s="28"/>
      <c r="H234" s="28"/>
      <c r="I234" s="28"/>
      <c r="J234" s="25" t="str">
        <f>IF('(1) Grundlagen'!$H$67="Bitte wählen","FEHLER",IF(I$231="FEHLER","FEHLER",IF(OR(ISBLANK(J231),NOT(ISNUMBER(J231))),"WERT?",IF('(1) Grundlagen'!$H$67="ja",IF(J231&gt;=ROUND(0.3/J$236/J$237,2),"gut",IF(AND(J231&gt;=0.3,J231&lt;ROUND(0.3/J$236/J$237,2)),"mässig","schlecht")),IF(J231&gt;=ROUND(0.2/J$236/J$237,2),"gut",IF(AND(J231&gt;=0.2,J231&lt;ROUND(0.2/J$236/J$237,2)),"mässig","schlecht"))))))</f>
        <v>gut</v>
      </c>
      <c r="K234" s="99" t="s">
        <v>45</v>
      </c>
      <c r="L234" s="20"/>
      <c r="M234" s="18"/>
      <c r="N234" s="25" t="str">
        <f>IF('(1) Grundlagen'!$H$67="Bitte wählen","FEHLER",IF(M$231="FEHLER","FEHLER",IF(OR(ISBLANK(N231),NOT(ISNUMBER(N231))),"WERT?",IF('(1) Grundlagen'!$H$67="ja",IF(N231&gt;=ROUND(0.3/N$236/N$237,2),"gut",IF(AND(N231&gt;=0.3,N231&lt;ROUND(0.3/N$236/N$237,2)),"mässig","schlecht")),IF(N231&gt;=ROUND(0.2/N$236/N$237,2),"gut",IF(AND(N231&gt;=0.2,N231&lt;ROUND(0.2/N$236/N$237,2)),"mässig","schlecht"))))))</f>
        <v>gut</v>
      </c>
      <c r="O234" s="99" t="s">
        <v>45</v>
      </c>
      <c r="P234" s="20"/>
      <c r="Q234" s="18"/>
      <c r="R234" s="25" t="str">
        <f>IF('(1) Grundlagen'!$H$67="Bitte wählen","FEHLER",IF(Q$231="FEHLER","FEHLER",IF(OR(ISBLANK(R231),NOT(ISNUMBER(R231))),"WERT?",IF('(1) Grundlagen'!$H$67="ja",IF(R231&gt;=ROUND(0.3/R$236/R$237,2),"gut",IF(AND(R231&gt;=0.3,R231&lt;ROUND(0.3/R$236/R$237,2)),"mässig","schlecht")),IF(R231&gt;=ROUND(0.2/R$236/R$237,2),"gut",IF(AND(R231&gt;=0.2,R231&lt;ROUND(0.2/R$236/R$237,2)),"mässig","schlecht"))))))</f>
        <v>gut</v>
      </c>
      <c r="S234" s="99" t="s">
        <v>45</v>
      </c>
      <c r="T234" s="20"/>
      <c r="U234" s="18"/>
      <c r="V234" s="25" t="str">
        <f>IF('(1) Grundlagen'!$H$67="Bitte wählen","FEHLER",IF(U$231="FEHLER","FEHLER",IF(OR(ISBLANK(V231),NOT(ISNUMBER(V231))),"WERT?",IF('(1) Grundlagen'!$H$67="ja",IF(V231&gt;=ROUND(0.3/V$236/V$237,2),"gut",IF(AND(V231&gt;=0.3,V231&lt;ROUND(0.3/V$236/V$237,2)),"mässig","schlecht")),IF(V231&gt;=ROUND(0.2/V$236/V$237,2),"gut",IF(AND(V231&gt;=0.2,V231&lt;ROUND(0.2/V$236/V$237,2)),"mässig","schlecht"))))))</f>
        <v>FEHLER</v>
      </c>
      <c r="W234" s="99" t="s">
        <v>45</v>
      </c>
      <c r="X234" s="20"/>
      <c r="Y234" s="18"/>
      <c r="Z234" s="25" t="str">
        <f>IF('(1) Grundlagen'!$H$67="Bitte wählen","FEHLER",IF(Y$231="FEHLER","FEHLER",IF(OR(ISBLANK(Z231),NOT(ISNUMBER(Z231))),"WERT?",IF('(1) Grundlagen'!$H$67="ja",IF(Z231&gt;=ROUND(0.3/Z$236/Z$237,2),"gut",IF(AND(Z231&gt;=0.3,Z231&lt;ROUND(0.3/Z$236/Z$237,2)),"mässig","schlecht")),IF(Z231&gt;=ROUND(0.2/Z$236/Z$237,2),"gut",IF(AND(Z231&gt;=0.2,Z231&lt;ROUND(0.2/Z$236/Z$237,2)),"mässig","schlecht"))))))</f>
        <v>FEHLER</v>
      </c>
      <c r="AA234" s="99" t="s">
        <v>45</v>
      </c>
      <c r="AB234" s="18"/>
      <c r="AD234" s="51"/>
      <c r="AF234" s="28"/>
      <c r="AG234" s="28"/>
      <c r="AH234" s="28"/>
      <c r="AI234" s="28"/>
      <c r="AJ234" s="28"/>
      <c r="AK234" s="28"/>
      <c r="AL234" s="28"/>
      <c r="AM234" s="6"/>
      <c r="AN234" s="6"/>
    </row>
    <row r="235" spans="3:45" s="5" customFormat="1" ht="15" customHeight="1" x14ac:dyDescent="0.25">
      <c r="C235" s="28"/>
      <c r="D235" s="28"/>
      <c r="E235" s="28"/>
      <c r="F235" s="28"/>
      <c r="G235" s="28"/>
      <c r="H235" s="28"/>
      <c r="I235" s="28"/>
      <c r="J235" s="18"/>
      <c r="K235" s="18"/>
      <c r="L235" s="18"/>
      <c r="M235" s="18"/>
      <c r="N235" s="18"/>
      <c r="O235" s="18"/>
      <c r="P235" s="18"/>
      <c r="Q235" s="18"/>
      <c r="R235" s="18"/>
      <c r="S235" s="18"/>
      <c r="T235" s="18"/>
      <c r="U235" s="18"/>
      <c r="V235" s="18"/>
      <c r="W235" s="18"/>
      <c r="X235" s="18"/>
      <c r="Y235" s="18"/>
      <c r="Z235" s="18"/>
      <c r="AA235" s="18"/>
      <c r="AB235" s="18"/>
      <c r="AD235" s="51"/>
      <c r="AF235" s="28"/>
      <c r="AG235" s="28"/>
      <c r="AH235" s="28"/>
      <c r="AI235" s="28"/>
      <c r="AJ235" s="28"/>
      <c r="AK235" s="28"/>
      <c r="AL235" s="28"/>
      <c r="AM235" s="6"/>
      <c r="AN235" s="6"/>
    </row>
    <row r="236" spans="3:45" s="5" customFormat="1" ht="15" customHeight="1" x14ac:dyDescent="0.25">
      <c r="J236" s="139">
        <f>'(3) Variantenbewertung'!I$30</f>
        <v>0.8</v>
      </c>
      <c r="K236" s="140"/>
      <c r="L236" s="139"/>
      <c r="M236" s="139"/>
      <c r="N236" s="139">
        <f>'(3) Variantenbewertung'!L$30</f>
        <v>0.95</v>
      </c>
      <c r="O236" s="140"/>
      <c r="P236" s="139"/>
      <c r="Q236" s="139"/>
      <c r="R236" s="139">
        <f>'(3) Variantenbewertung'!O$30</f>
        <v>0.8</v>
      </c>
      <c r="S236" s="140"/>
      <c r="T236" s="139"/>
      <c r="U236" s="139"/>
      <c r="V236" s="139" t="str">
        <f>'(3) Variantenbewertung'!R$30</f>
        <v>Bauweise wählen</v>
      </c>
      <c r="W236" s="140"/>
      <c r="X236" s="139"/>
      <c r="Y236" s="139"/>
      <c r="Z236" s="139" t="str">
        <f>'(3) Variantenbewertung'!U$30</f>
        <v>Bauweise wählen</v>
      </c>
      <c r="AA236" s="140"/>
      <c r="AB236" s="1"/>
      <c r="AD236" s="51"/>
      <c r="AI236" s="6"/>
      <c r="AO236" s="7"/>
    </row>
    <row r="237" spans="3:45" s="5" customFormat="1" ht="15" customHeight="1" x14ac:dyDescent="0.25">
      <c r="J237" s="139">
        <f>'(3) Variantenbewertung'!I$35</f>
        <v>1</v>
      </c>
      <c r="K237" s="140"/>
      <c r="L237" s="139"/>
      <c r="M237" s="139"/>
      <c r="N237" s="139">
        <f>'(3) Variantenbewertung'!L$35</f>
        <v>0.95</v>
      </c>
      <c r="O237" s="140"/>
      <c r="P237" s="139"/>
      <c r="Q237" s="139"/>
      <c r="R237" s="139">
        <f>'(3) Variantenbewertung'!O$35</f>
        <v>1</v>
      </c>
      <c r="S237" s="140"/>
      <c r="T237" s="139"/>
      <c r="U237" s="139"/>
      <c r="V237" s="139" t="str">
        <f>'(3) Variantenbewertung'!R$35</f>
        <v/>
      </c>
      <c r="W237" s="140"/>
      <c r="X237" s="139"/>
      <c r="Y237" s="139"/>
      <c r="Z237" s="139" t="str">
        <f>'(3) Variantenbewertung'!U$35</f>
        <v/>
      </c>
      <c r="AA237" s="140"/>
      <c r="AB237" s="1"/>
      <c r="AD237" s="51"/>
      <c r="AI237" s="6"/>
      <c r="AO237" s="7"/>
    </row>
    <row r="238" spans="3:45" s="5" customFormat="1" ht="15" customHeight="1" x14ac:dyDescent="0.25">
      <c r="C238" s="266" t="s">
        <v>361</v>
      </c>
      <c r="D238" s="266"/>
      <c r="E238" s="266"/>
      <c r="F238" s="266"/>
      <c r="G238" s="266"/>
      <c r="H238" s="45"/>
      <c r="I238" s="28"/>
      <c r="J238" s="18"/>
      <c r="K238" s="18"/>
      <c r="L238" s="18"/>
      <c r="M238" s="18"/>
      <c r="N238" s="18"/>
      <c r="O238" s="18"/>
      <c r="P238" s="18"/>
      <c r="Q238" s="18"/>
      <c r="R238" s="18"/>
      <c r="S238" s="18"/>
      <c r="T238" s="18"/>
      <c r="U238" s="18"/>
      <c r="V238" s="18"/>
      <c r="W238" s="18"/>
      <c r="X238" s="18"/>
      <c r="Y238" s="18"/>
      <c r="Z238" s="18"/>
      <c r="AA238" s="18"/>
      <c r="AB238" s="18"/>
      <c r="AD238" s="51"/>
      <c r="AF238" s="17"/>
      <c r="AG238" s="185" t="s">
        <v>245</v>
      </c>
      <c r="AH238" s="184" t="s">
        <v>254</v>
      </c>
      <c r="AI238" s="37" t="s">
        <v>8</v>
      </c>
      <c r="AJ238" s="37" t="s">
        <v>9</v>
      </c>
      <c r="AK238" s="37" t="s">
        <v>1</v>
      </c>
      <c r="AL238" s="37" t="s">
        <v>2</v>
      </c>
    </row>
    <row r="239" spans="3:45" s="5" customFormat="1" ht="15" customHeight="1" x14ac:dyDescent="0.25">
      <c r="C239" s="28"/>
      <c r="D239" s="321" t="s">
        <v>244</v>
      </c>
      <c r="E239" s="321"/>
      <c r="F239" s="321"/>
      <c r="G239" s="321"/>
      <c r="H239" s="181"/>
      <c r="I239" s="70"/>
      <c r="J239" s="316" t="str">
        <f>IF(ISBLANK('(3) Variantenbewertung'!$I$11),"",'(3) Variantenbewertung'!$I$11)</f>
        <v>V1</v>
      </c>
      <c r="K239" s="316"/>
      <c r="L239" s="18"/>
      <c r="M239" s="18"/>
      <c r="N239" s="316" t="str">
        <f>IF(ISBLANK('(3) Variantenbewertung'!$L$11),"",'(3) Variantenbewertung'!$L$11)</f>
        <v>V2</v>
      </c>
      <c r="O239" s="316"/>
      <c r="P239" s="18"/>
      <c r="Q239" s="18"/>
      <c r="R239" s="316" t="str">
        <f>IF(ISBLANK('(3) Variantenbewertung'!$O$11),"",'(3) Variantenbewertung'!$O$11)</f>
        <v>V3</v>
      </c>
      <c r="S239" s="316"/>
      <c r="T239" s="55"/>
      <c r="U239" s="18"/>
      <c r="V239" s="316" t="str">
        <f>IF(ISBLANK('(3) Variantenbewertung'!$R$11),"",'(3) Variantenbewertung'!$R$11)</f>
        <v/>
      </c>
      <c r="W239" s="316"/>
      <c r="X239" s="18"/>
      <c r="Y239" s="18"/>
      <c r="Z239" s="316" t="str">
        <f>IF(ISBLANK('(3) Variantenbewertung'!$U$11),"",'(3) Variantenbewertung'!$U$11)</f>
        <v/>
      </c>
      <c r="AA239" s="316"/>
      <c r="AB239" s="18"/>
      <c r="AD239" s="51"/>
      <c r="AF239" s="30"/>
      <c r="AG239" s="305" t="s">
        <v>10</v>
      </c>
      <c r="AH239" s="306"/>
      <c r="AI239" s="25" t="s">
        <v>484</v>
      </c>
      <c r="AJ239" s="25" t="s">
        <v>291</v>
      </c>
      <c r="AK239" s="25" t="s">
        <v>487</v>
      </c>
      <c r="AL239" s="25" t="s">
        <v>489</v>
      </c>
      <c r="AM239" s="10"/>
      <c r="AN239" s="10"/>
      <c r="AO239" s="19" t="s">
        <v>39</v>
      </c>
      <c r="AP239" s="6"/>
      <c r="AQ239" s="6"/>
      <c r="AR239" s="6"/>
      <c r="AS239" s="6"/>
    </row>
    <row r="240" spans="3:45" s="5" customFormat="1" ht="15" customHeight="1" x14ac:dyDescent="0.25">
      <c r="C240" s="28"/>
      <c r="D240" s="321"/>
      <c r="E240" s="321"/>
      <c r="F240" s="321"/>
      <c r="G240" s="321"/>
      <c r="H240" s="181"/>
      <c r="I240" s="28"/>
      <c r="J240" s="132" t="s">
        <v>221</v>
      </c>
      <c r="K240" s="133" t="s">
        <v>222</v>
      </c>
      <c r="L240" s="126"/>
      <c r="M240" s="17"/>
      <c r="N240" s="132" t="s">
        <v>221</v>
      </c>
      <c r="O240" s="133" t="s">
        <v>222</v>
      </c>
      <c r="P240" s="126"/>
      <c r="Q240" s="17"/>
      <c r="R240" s="132" t="s">
        <v>221</v>
      </c>
      <c r="S240" s="133" t="s">
        <v>222</v>
      </c>
      <c r="T240" s="126"/>
      <c r="U240" s="17"/>
      <c r="V240" s="132" t="s">
        <v>221</v>
      </c>
      <c r="W240" s="133" t="s">
        <v>222</v>
      </c>
      <c r="X240" s="126"/>
      <c r="Y240" s="17"/>
      <c r="Z240" s="132" t="s">
        <v>221</v>
      </c>
      <c r="AA240" s="133" t="s">
        <v>222</v>
      </c>
      <c r="AB240" s="17"/>
      <c r="AD240" s="51"/>
      <c r="AF240" s="31"/>
      <c r="AG240" s="305" t="s">
        <v>42</v>
      </c>
      <c r="AH240" s="306"/>
      <c r="AI240" s="25" t="s">
        <v>483</v>
      </c>
      <c r="AJ240" s="25" t="s">
        <v>485</v>
      </c>
      <c r="AK240" s="25" t="s">
        <v>486</v>
      </c>
      <c r="AL240" s="25" t="s">
        <v>488</v>
      </c>
      <c r="AM240" s="7"/>
      <c r="AN240" s="7"/>
    </row>
    <row r="241" spans="3:50" s="5" customFormat="1" ht="15" customHeight="1" x14ac:dyDescent="0.25">
      <c r="C241" s="28"/>
      <c r="D241" s="28"/>
      <c r="E241" s="17"/>
      <c r="F241" s="28"/>
      <c r="G241" s="28"/>
      <c r="H241" s="28"/>
      <c r="I241" s="28"/>
      <c r="J241" s="25" t="s">
        <v>70</v>
      </c>
      <c r="K241" s="53" t="str">
        <f>IF(NOT(K245="keine Korrektur"),"Bitte begründen:","")</f>
        <v/>
      </c>
      <c r="L241" s="20"/>
      <c r="M241" s="20"/>
      <c r="N241" s="25" t="s">
        <v>70</v>
      </c>
      <c r="O241" s="53" t="str">
        <f>IF(NOT(O245="keine Korrektur"),"Bitte begründen:","")</f>
        <v/>
      </c>
      <c r="P241" s="20"/>
      <c r="Q241" s="20"/>
      <c r="R241" s="25" t="s">
        <v>70</v>
      </c>
      <c r="S241" s="53" t="str">
        <f>IF(NOT(S245="keine Korrektur"),"Bitte begründen:","")</f>
        <v/>
      </c>
      <c r="T241" s="20"/>
      <c r="U241" s="20"/>
      <c r="V241" s="25" t="s">
        <v>70</v>
      </c>
      <c r="W241" s="53" t="str">
        <f>IF(NOT(W245="keine Korrektur"),"Bitte begründen:","")</f>
        <v/>
      </c>
      <c r="X241" s="20"/>
      <c r="Y241" s="20"/>
      <c r="Z241" s="25" t="s">
        <v>70</v>
      </c>
      <c r="AA241" s="53" t="str">
        <f>IF(NOT(AA245="keine Korrektur"),"Bitte begründen:","")</f>
        <v/>
      </c>
      <c r="AB241" s="18"/>
      <c r="AD241" s="51"/>
      <c r="AF241" s="32"/>
      <c r="AG241" s="305" t="s">
        <v>43</v>
      </c>
      <c r="AH241" s="306"/>
      <c r="AI241" s="25" t="s">
        <v>292</v>
      </c>
      <c r="AJ241" s="25" t="s">
        <v>293</v>
      </c>
      <c r="AK241" s="25" t="s">
        <v>294</v>
      </c>
      <c r="AL241" s="25" t="s">
        <v>295</v>
      </c>
      <c r="AM241" s="2"/>
      <c r="AN241" s="2"/>
      <c r="AO241" s="155" t="s">
        <v>20</v>
      </c>
      <c r="AP241" s="155" t="s">
        <v>8</v>
      </c>
      <c r="AQ241" s="155"/>
      <c r="AR241" s="155" t="s">
        <v>9</v>
      </c>
      <c r="AS241" s="155"/>
      <c r="AT241" s="155" t="s">
        <v>1</v>
      </c>
      <c r="AU241" s="155"/>
      <c r="AV241" s="155" t="s">
        <v>2</v>
      </c>
      <c r="AW241" s="1"/>
      <c r="AX241" s="156"/>
    </row>
    <row r="242" spans="3:50" s="5" customFormat="1" ht="15" customHeight="1" x14ac:dyDescent="0.25">
      <c r="C242" s="28"/>
      <c r="D242" s="30"/>
      <c r="E242" s="265" t="str">
        <f>IF('(1) Grundlagen'!$H$66="Bitte wählen","Bitte auf Blatt (1) Fischregion wählen","&lt; Bemessungswert")</f>
        <v>&lt; Bemessungswert</v>
      </c>
      <c r="F242" s="265"/>
      <c r="G242" s="28"/>
      <c r="H242" s="28"/>
      <c r="I242" s="128" t="str">
        <f>IF('(3) Variantenbewertung'!$I$26=1,"DEAKTIVIERT",IF(OR(J$247="Bauweise wählen",J$248="Bauweise / Betriebsbedingungen wählen"),"FEHLER",IF('(3) Variantenbewertung'!$I$26=2,"&lt; "&amp;ROUND('(3a) Funktionskriterien'!$AX$243*J$247*J$248,0)&amp;" W/m"&amp;CHAR(179),IF('(3) Variantenbewertung'!$I$26&gt;2,"&lt; "&amp;ROUND('(3a) Funktionskriterien'!$AX$242*J$247*J$248,0)&amp;" W/m"&amp;CHAR(179),""))))</f>
        <v>&lt; 225 W/m³</v>
      </c>
      <c r="J242" s="223">
        <v>110</v>
      </c>
      <c r="K242" s="318"/>
      <c r="L242" s="20"/>
      <c r="M242" s="128" t="str">
        <f>IF('(3) Variantenbewertung'!$L$26=1,"DEAKTIVIERT",IF(OR(N$247="Bauweise wählen",N$248="Bauweise / Betriebsbedingungen wählen"),"FEHLER",IF('(3) Variantenbewertung'!$L$26=2,"&lt; "&amp;ROUND('(3a) Funktionskriterien'!$AX$243*N$247*N$248,0)&amp;" W/m"&amp;CHAR(179),IF('(3) Variantenbewertung'!$L$26&gt;2,"&lt; "&amp;ROUND('(3a) Funktionskriterien'!$AX$242*N$247*N$248,0)&amp;" W/m"&amp;CHAR(179),""))))</f>
        <v>&lt; 171 W/m³</v>
      </c>
      <c r="N242" s="223">
        <v>80</v>
      </c>
      <c r="O242" s="318"/>
      <c r="P242" s="20"/>
      <c r="Q242" s="128" t="str">
        <f>IF('(3) Variantenbewertung'!$O$26=1,"DEAKTIVIERT",IF(OR(R$247="Bauweise wählen",R$248="Bauweise / Betriebsbedingungen wählen"),"FEHLER",IF('(3) Variantenbewertung'!$O$26=2,"&lt; "&amp;ROUND('(3a) Funktionskriterien'!$AX$243*R$247*R$248,0)&amp;" W/m"&amp;CHAR(179),IF('(3) Variantenbewertung'!$O$26&gt;2,"&lt; "&amp;ROUND('(3a) Funktionskriterien'!$AX$242*R$247*R$248,0)&amp;" W/m"&amp;CHAR(179),""))))</f>
        <v>&lt; 225 W/m³</v>
      </c>
      <c r="R242" s="223">
        <v>170</v>
      </c>
      <c r="S242" s="318"/>
      <c r="T242" s="20"/>
      <c r="U242" s="128" t="str">
        <f>IF('(3) Variantenbewertung'!$R$26=1,"DEAKTIVIERT",IF(OR(V$247="Bauweise wählen",V$248="Bauweise / Betriebsbedingungen wählen"),"FEHLER",IF('(3) Variantenbewertung'!$R$26=2,"&lt; "&amp;ROUND('(3a) Funktionskriterien'!$AX$243*V$247*V$248,0)&amp;" W/m"&amp;CHAR(179),IF('(3) Variantenbewertung'!$R$26&gt;2,"&lt; "&amp;ROUND('(3a) Funktionskriterien'!$AX$242*V$247*V$248,0)&amp;" W/m"&amp;CHAR(179),""))))</f>
        <v>FEHLER</v>
      </c>
      <c r="V242" s="223"/>
      <c r="W242" s="318"/>
      <c r="X242" s="20"/>
      <c r="Y242" s="128" t="str">
        <f>IF('(3) Variantenbewertung'!$U$26=1,"DEAKTIVIERT",IF(OR(Z$247="Bauweise wählen",Z$248="Bauweise / Betriebsbedingungen wählen"),"FEHLER",IF('(3) Variantenbewertung'!$U$26=2,"&lt; "&amp;ROUND('(3a) Funktionskriterien'!$AX$243*Z$247*Z$248,0)&amp;" W/m"&amp;CHAR(179),IF('(3) Variantenbewertung'!$U$26&gt;2,"&lt; "&amp;ROUND('(3a) Funktionskriterien'!$AX$242*Z$247*Z$248,0)&amp;" W/m"&amp;CHAR(179),""))))</f>
        <v>FEHLER</v>
      </c>
      <c r="Z242" s="223"/>
      <c r="AA242" s="318"/>
      <c r="AB242" s="18"/>
      <c r="AD242" s="51"/>
      <c r="AM242" s="9"/>
      <c r="AN242" s="9"/>
      <c r="AO242" s="25" t="s">
        <v>245</v>
      </c>
      <c r="AP242" s="22">
        <v>250</v>
      </c>
      <c r="AQ242" s="22"/>
      <c r="AR242" s="22">
        <v>225</v>
      </c>
      <c r="AS242" s="22"/>
      <c r="AT242" s="22">
        <v>200</v>
      </c>
      <c r="AU242" s="22"/>
      <c r="AV242" s="22">
        <v>100</v>
      </c>
      <c r="AW242" s="77"/>
      <c r="AX242" s="22">
        <f>IF('(1) Grundlagen'!$H$66="Obere Forellenregion",AP242,IF('(1) Grundlagen'!$H$66="Untere Forellenregion",AR242,IF('(1) Grundlagen'!$H$66="Äschenregion",AT242,AV242)))</f>
        <v>200</v>
      </c>
    </row>
    <row r="243" spans="3:50" s="5" customFormat="1" ht="15" customHeight="1" x14ac:dyDescent="0.25">
      <c r="C243" s="28"/>
      <c r="D243" s="31"/>
      <c r="E243" s="265" t="str">
        <f>IF('(1) Grundlagen'!$H$66="Bitte wählen","","Bemessungswert bis Grenzwert")</f>
        <v>Bemessungswert bis Grenzwert</v>
      </c>
      <c r="F243" s="265"/>
      <c r="G243" s="28"/>
      <c r="H243" s="28"/>
      <c r="I243" s="128" t="str">
        <f>IF('(3) Variantenbewertung'!$I$26=1,"",IF(OR(J$247="Bauweise wählen",J$248="Bauweise / Betriebsbedingungen wählen"),"",IF('(3) Variantenbewertung'!$I$26=2,ROUND('(3a) Funktionskriterien'!$AX$243*J$247*J$248,0)&amp;" bis "&amp;$AX$243&amp;" W/m"&amp;CHAR(179),IF('(3) Variantenbewertung'!$I$26&gt;2,ROUND('(3a) Funktionskriterien'!$AX$242*J$247*J$248,0)&amp;" bis "&amp;$AX$242&amp;" W/m"&amp;CHAR(179),""))))</f>
        <v>225 bis 250 W/m³</v>
      </c>
      <c r="J243" s="223"/>
      <c r="K243" s="319"/>
      <c r="L243" s="20"/>
      <c r="M243" s="128" t="str">
        <f>IF('(3) Variantenbewertung'!$L$26=1,"",IF(OR(N$247="Bauweise wählen",N$248="Bauweise / Betriebsbedingungen wählen"),"",IF('(3) Variantenbewertung'!$L$26=2,ROUND('(3a) Funktionskriterien'!$AX$243*N$247*N$248,0)&amp;" bis "&amp;$AX$243&amp;" W/m"&amp;CHAR(179),IF('(3) Variantenbewertung'!$L$26&gt;2,ROUND('(3a) Funktionskriterien'!$AX$242*N$247*N$248,0)&amp;" bis "&amp;$AX$242&amp;" W/m"&amp;CHAR(179),""))))</f>
        <v>171 bis 200 W/m³</v>
      </c>
      <c r="N243" s="223"/>
      <c r="O243" s="319"/>
      <c r="P243" s="20"/>
      <c r="Q243" s="128" t="str">
        <f>IF('(3) Variantenbewertung'!$O$26=1,"",IF(OR(R$247="Bauweise wählen",R$248="Bauweise / Betriebsbedingungen wählen"),"",IF('(3) Variantenbewertung'!$O$26=2,ROUND('(3a) Funktionskriterien'!$AX$243*R$247*R$248,0)&amp;" bis "&amp;$AX$243&amp;" W/m"&amp;CHAR(179),IF('(3) Variantenbewertung'!$O$26&gt;2,ROUND('(3a) Funktionskriterien'!$AX$242*R$247*R$248,0)&amp;" bis "&amp;$AX$242&amp;" W/m"&amp;CHAR(179),""))))</f>
        <v>225 bis 250 W/m³</v>
      </c>
      <c r="R243" s="223"/>
      <c r="S243" s="319"/>
      <c r="T243" s="20"/>
      <c r="U243" s="128" t="str">
        <f>IF('(3) Variantenbewertung'!$R$26=1,"",IF(OR(V$247="Bauweise wählen",V$248="Bauweise / Betriebsbedingungen wählen"),"",IF('(3) Variantenbewertung'!$R$26=2,ROUND('(3a) Funktionskriterien'!$AX$243*V$247*V$248,0)&amp;" bis "&amp;$AX$243&amp;" W/m"&amp;CHAR(179),IF('(3) Variantenbewertung'!$R$26&gt;2,ROUND('(3a) Funktionskriterien'!$AX$242*V$247*V$248,0)&amp;" bis "&amp;$AX$242&amp;" W/m"&amp;CHAR(179),""))))</f>
        <v/>
      </c>
      <c r="V243" s="223"/>
      <c r="W243" s="319"/>
      <c r="X243" s="20"/>
      <c r="Y243" s="128" t="str">
        <f>IF('(3) Variantenbewertung'!$U$26=1,"",IF(OR(Z$247="Bauweise wählen",Z$248="Bauweise / Betriebsbedingungen wählen"),"",IF('(3) Variantenbewertung'!$U$26=2,ROUND('(3a) Funktionskriterien'!$AX$243*Z$247*Z$248,0)&amp;" bis "&amp;$AX$243&amp;" W/m"&amp;CHAR(179),IF('(3) Variantenbewertung'!$U$26&gt;2,ROUND('(3a) Funktionskriterien'!$AX$242*Z$247*Z$248,0)&amp;" bis "&amp;$AX$242&amp;" W/m"&amp;CHAR(179),""))))</f>
        <v/>
      </c>
      <c r="Z243" s="223"/>
      <c r="AA243" s="319"/>
      <c r="AB243" s="18"/>
      <c r="AD243" s="51"/>
      <c r="AF243" s="17"/>
      <c r="AG243" s="185" t="s">
        <v>246</v>
      </c>
      <c r="AH243" s="184" t="s">
        <v>254</v>
      </c>
      <c r="AI243" s="37" t="s">
        <v>8</v>
      </c>
      <c r="AJ243" s="37" t="s">
        <v>9</v>
      </c>
      <c r="AK243" s="37" t="s">
        <v>1</v>
      </c>
      <c r="AL243" s="37" t="s">
        <v>2</v>
      </c>
      <c r="AM243" s="11"/>
      <c r="AN243" s="11"/>
      <c r="AO243" s="25" t="s">
        <v>246</v>
      </c>
      <c r="AP243" s="22">
        <v>300</v>
      </c>
      <c r="AQ243" s="22"/>
      <c r="AR243" s="22">
        <v>275</v>
      </c>
      <c r="AS243" s="22"/>
      <c r="AT243" s="22">
        <v>250</v>
      </c>
      <c r="AU243" s="22"/>
      <c r="AV243" s="22">
        <v>200</v>
      </c>
      <c r="AW243" s="77"/>
      <c r="AX243" s="22">
        <f>IF('(1) Grundlagen'!$H$66="Obere Forellenregion",AP243,IF('(1) Grundlagen'!$H$66="Untere Forellenregion",AR243,IF('(1) Grundlagen'!$H$66="Äschenregion",AT243,AV243)))</f>
        <v>250</v>
      </c>
    </row>
    <row r="244" spans="3:50" s="5" customFormat="1" ht="15" customHeight="1" x14ac:dyDescent="0.25">
      <c r="C244" s="28"/>
      <c r="D244" s="32"/>
      <c r="E244" s="265" t="str">
        <f>IF('(1) Grundlagen'!$H$66="Bitte wählen","","&gt; Grenzwert")</f>
        <v>&gt; Grenzwert</v>
      </c>
      <c r="F244" s="265"/>
      <c r="G244" s="28"/>
      <c r="H244" s="28"/>
      <c r="I244" s="128" t="str">
        <f>IF('(3) Variantenbewertung'!$I$26=1,"",IF(OR(J$247="Bauweise wählen",J$248="Bauweise / Betriebsbedingungen wählen"),"",IF('(3) Variantenbewertung'!$I$26=2,"&gt; "&amp;'(3a) Funktionskriterien'!$AX$243&amp;" W/m"&amp;CHAR(179),IF('(3) Variantenbewertung'!$I$26&gt;2,"&gt; "&amp;'(3a) Funktionskriterien'!$AX$242&amp;" W/m"&amp;CHAR(179),""))))</f>
        <v>&gt; 250 W/m³</v>
      </c>
      <c r="J244" s="223"/>
      <c r="K244" s="319"/>
      <c r="L244" s="20"/>
      <c r="M244" s="128" t="str">
        <f>IF('(3) Variantenbewertung'!$L$26=1,"",IF(OR(N$247="Bauweise wählen",N$248="Bauweise / Betriebsbedingungen wählen"),"",IF('(3) Variantenbewertung'!$L$26=2,"&gt; "&amp;'(3a) Funktionskriterien'!$AX$243&amp;" W/m"&amp;CHAR(179),IF('(3) Variantenbewertung'!$L$26&gt;2,"&gt; "&amp;'(3a) Funktionskriterien'!$AX$242&amp;" W/m"&amp;CHAR(179),""))))</f>
        <v>&gt; 200 W/m³</v>
      </c>
      <c r="N244" s="223"/>
      <c r="O244" s="319"/>
      <c r="P244" s="20"/>
      <c r="Q244" s="128" t="str">
        <f>IF('(3) Variantenbewertung'!$O$26=1,"",IF(OR(R$247="Bauweise wählen",R$248="Bauweise / Betriebsbedingungen wählen"),"",IF('(3) Variantenbewertung'!$O$26=2,"&gt; "&amp;'(3a) Funktionskriterien'!$AX$243&amp;" W/m"&amp;CHAR(179),IF('(3) Variantenbewertung'!$O$26&gt;2,"&gt; "&amp;'(3a) Funktionskriterien'!$AX$242&amp;" W/m"&amp;CHAR(179),""))))</f>
        <v>&gt; 250 W/m³</v>
      </c>
      <c r="R244" s="223"/>
      <c r="S244" s="319"/>
      <c r="T244" s="20"/>
      <c r="U244" s="128" t="str">
        <f>IF('(3) Variantenbewertung'!$R$26=1,"",IF(OR(V$247="Bauweise wählen",V$248="Bauweise / Betriebsbedingungen wählen"),"",IF('(3) Variantenbewertung'!$R$26=2,"&gt; "&amp;'(3a) Funktionskriterien'!$AX$243&amp;" W/m"&amp;CHAR(179),IF('(3) Variantenbewertung'!$R$26&gt;2,"&gt; "&amp;'(3a) Funktionskriterien'!$AX$242&amp;" W/m"&amp;CHAR(179),""))))</f>
        <v/>
      </c>
      <c r="V244" s="223"/>
      <c r="W244" s="319"/>
      <c r="X244" s="20"/>
      <c r="Y244" s="128" t="str">
        <f>IF('(3) Variantenbewertung'!$U$26=1,"",IF(OR(Z$247="Bauweise wählen",Z$248="Bauweise / Betriebsbedingungen wählen"),"",IF('(3) Variantenbewertung'!$U$26=2,"&gt; "&amp;'(3a) Funktionskriterien'!$AX$243&amp;" W/m"&amp;CHAR(179),IF('(3) Variantenbewertung'!$U$26&gt;2,"&gt; "&amp;'(3a) Funktionskriterien'!$AX$242&amp;" W/m"&amp;CHAR(179),""))))</f>
        <v/>
      </c>
      <c r="Z244" s="223"/>
      <c r="AA244" s="319"/>
      <c r="AB244" s="18"/>
      <c r="AD244" s="51"/>
      <c r="AF244" s="30"/>
      <c r="AG244" s="305" t="s">
        <v>10</v>
      </c>
      <c r="AH244" s="306"/>
      <c r="AI244" s="25" t="s">
        <v>492</v>
      </c>
      <c r="AJ244" s="25" t="s">
        <v>495</v>
      </c>
      <c r="AK244" s="25" t="s">
        <v>484</v>
      </c>
      <c r="AL244" s="25" t="s">
        <v>487</v>
      </c>
      <c r="AM244" s="9"/>
      <c r="AN244" s="9"/>
      <c r="AO244" s="154"/>
      <c r="AP244" s="154"/>
      <c r="AQ244" s="154"/>
      <c r="AR244" s="154"/>
      <c r="AS244" s="154"/>
      <c r="AT244" s="154"/>
      <c r="AU244" s="154"/>
      <c r="AV244" s="154"/>
      <c r="AW244" s="154"/>
      <c r="AX244" s="154"/>
    </row>
    <row r="245" spans="3:50" s="5" customFormat="1" ht="15" customHeight="1" x14ac:dyDescent="0.25">
      <c r="C245" s="28"/>
      <c r="D245" s="28"/>
      <c r="E245" s="28"/>
      <c r="F245" s="28"/>
      <c r="G245" s="28"/>
      <c r="H245" s="28"/>
      <c r="I245" s="28"/>
      <c r="J245" s="25" t="str">
        <f>IF('(1) Grundlagen'!$H$66="Bitte wählen","FEHLER",IF(I$242="DEAKTIVIERT","",IF(I$242="FEHLER","FEHLER",IF(OR(ISBLANK(J242),NOT(ISNUMBER(J242))),"WERT?",IF('(3) Variantenbewertung'!$I$26=1,"",IF('(3) Variantenbewertung'!$I$26=2,IF(J242&lt;=ROUND($AX$243*J$247*J$248,0),"gut",IF(AND(J242&gt;ROUND($AX$243*J$247*J$248,0),J242&lt;=$AX$243),"mässig","schlecht")),IF('(3) Variantenbewertung'!$I$26&gt;2,IF(J242&lt;=ROUND($AX$242*J$247*J$248,0),"gut",IF(AND(J242&gt;ROUND($AX$242*J$247*J$248,0),J242&lt;=$AX$242),"mässig","schlecht")),"")))))))</f>
        <v>gut</v>
      </c>
      <c r="K245" s="99" t="s">
        <v>45</v>
      </c>
      <c r="L245" s="20"/>
      <c r="M245" s="18"/>
      <c r="N245" s="25" t="str">
        <f>IF('(1) Grundlagen'!$H$66="Bitte wählen","FEHLER",IF(M$242="DEAKTIVIERT","",IF(M$242="FEHLER","FEHLER",IF(OR(ISBLANK(N242),NOT(ISNUMBER(N242))),"WERT?",IF('(3) Variantenbewertung'!$L$26=1,"",IF('(3) Variantenbewertung'!$L$26=2,IF(N242&lt;=ROUND($AX$243*N$247*N$248,0),"gut",IF(AND(N242&gt;ROUND($AX$243*N$247*N$248,0),N242&lt;=$AX$243),"mässig","schlecht")),IF('(3) Variantenbewertung'!$L$26&gt;2,IF(N242&lt;=ROUND($AX$242*N$247*N$248,0),"gut",IF(AND(N242&gt;ROUND($AX$242*N$247*N$248,0),N242&lt;=$AX$242),"mässig","schlecht")),"")))))))</f>
        <v>gut</v>
      </c>
      <c r="O245" s="99" t="s">
        <v>45</v>
      </c>
      <c r="P245" s="20"/>
      <c r="Q245" s="18"/>
      <c r="R245" s="25" t="str">
        <f>IF('(1) Grundlagen'!$H$66="Bitte wählen","FEHLER",IF(Q$242="DEAKTIVIERT","",IF(Q$242="FEHLER","FEHLER",IF(OR(ISBLANK(R242),NOT(ISNUMBER(R242))),"WERT?",IF('(3) Variantenbewertung'!$O$26=1,"",IF('(3) Variantenbewertung'!$O$26=2,IF(R242&lt;=ROUND($AX$243*R$247*R$248,0),"gut",IF(AND(R242&gt;ROUND($AX$243*R$247*R$248,0),R242&lt;=$AX$243),"mässig","schlecht")),IF('(3) Variantenbewertung'!$O$26&gt;2,IF(R242&lt;=ROUND($AX$242*R$247*R$248,0),"gut",IF(AND(R242&gt;ROUND($AX$242*R$247*R$248,0),R242&lt;=$AX$242),"mässig","schlecht")),"")))))))</f>
        <v>gut</v>
      </c>
      <c r="S245" s="99" t="s">
        <v>45</v>
      </c>
      <c r="T245" s="20"/>
      <c r="U245" s="18"/>
      <c r="V245" s="25" t="str">
        <f>IF('(1) Grundlagen'!$H$66="Bitte wählen","FEHLER",IF(U$242="DEAKTIVIERT","",IF(U$242="FEHLER","FEHLER",IF(OR(ISBLANK(V242),NOT(ISNUMBER(V242))),"WERT?",IF('(3) Variantenbewertung'!$R$26=1,"",IF('(3) Variantenbewertung'!$R$26=2,IF(V242&lt;=ROUND($AX$243*V$247*V$248,0),"gut",IF(AND(V242&gt;ROUND($AX$243*V$247*V$248,0),V242&lt;=$AX$243),"mässig","schlecht")),IF('(3) Variantenbewertung'!$R$26&gt;2,IF(V242&lt;=ROUND($AX$242*V$247*V$248,0),"gut",IF(AND(V242&gt;ROUND($AX$242*V$247*V$248,0),V242&lt;=$AX$242),"mässig","schlecht")),"")))))))</f>
        <v>FEHLER</v>
      </c>
      <c r="W245" s="99" t="s">
        <v>45</v>
      </c>
      <c r="X245" s="20"/>
      <c r="Y245" s="18"/>
      <c r="Z245" s="25" t="str">
        <f>IF('(1) Grundlagen'!$H$66="Bitte wählen","FEHLER",IF(Y$242="DEAKTIVIERT","",IF(Y$242="FEHLER","FEHLER",IF(OR(ISBLANK(Z242),NOT(ISNUMBER(Z242))),"WERT?",IF('(3) Variantenbewertung'!$U$26=1,"",IF('(3) Variantenbewertung'!$U$26=2,IF(Z242&lt;=ROUND($AX$243*Z$247*Z$248,0),"gut",IF(AND(Z242&gt;ROUND($AX$243*Z$247*Z$248,0),Z242&lt;=$AX$243),"mässig","schlecht")),IF('(3) Variantenbewertung'!$U$26&gt;2,IF(Z242&lt;=ROUND($AX$242*Z$247*Z$248,0),"gut",IF(AND(Z242&gt;ROUND($AX$242*Z$247*Z$248,0),Z242&lt;=$AX$242),"mässig","schlecht")),"")))))))</f>
        <v>FEHLER</v>
      </c>
      <c r="AA245" s="99" t="s">
        <v>45</v>
      </c>
      <c r="AB245" s="18"/>
      <c r="AD245" s="51"/>
      <c r="AF245" s="31"/>
      <c r="AG245" s="305" t="s">
        <v>42</v>
      </c>
      <c r="AH245" s="306"/>
      <c r="AI245" s="25" t="s">
        <v>491</v>
      </c>
      <c r="AJ245" s="25" t="s">
        <v>494</v>
      </c>
      <c r="AK245" s="25" t="s">
        <v>483</v>
      </c>
      <c r="AL245" s="25" t="s">
        <v>486</v>
      </c>
      <c r="AM245" s="9"/>
      <c r="AN245" s="9"/>
      <c r="AO245" s="3"/>
      <c r="AP245" s="3"/>
      <c r="AQ245" s="3"/>
    </row>
    <row r="246" spans="3:50" s="5" customFormat="1" ht="15" customHeight="1" x14ac:dyDescent="0.25">
      <c r="C246" s="28"/>
      <c r="D246" s="28"/>
      <c r="E246" s="28"/>
      <c r="F246" s="28"/>
      <c r="G246" s="28"/>
      <c r="H246" s="28"/>
      <c r="I246" s="28"/>
      <c r="J246" s="18"/>
      <c r="K246" s="18"/>
      <c r="L246" s="18"/>
      <c r="M246" s="18"/>
      <c r="N246" s="18"/>
      <c r="O246" s="18"/>
      <c r="P246" s="18"/>
      <c r="Q246" s="18"/>
      <c r="R246" s="18"/>
      <c r="S246" s="18"/>
      <c r="T246" s="18"/>
      <c r="U246" s="18"/>
      <c r="V246" s="18"/>
      <c r="W246" s="18"/>
      <c r="X246" s="18"/>
      <c r="Y246" s="18"/>
      <c r="Z246" s="18"/>
      <c r="AA246" s="18"/>
      <c r="AB246" s="18"/>
      <c r="AD246" s="51"/>
      <c r="AF246" s="32"/>
      <c r="AG246" s="305" t="s">
        <v>43</v>
      </c>
      <c r="AH246" s="306"/>
      <c r="AI246" s="25" t="s">
        <v>490</v>
      </c>
      <c r="AJ246" s="25" t="s">
        <v>493</v>
      </c>
      <c r="AK246" s="25" t="s">
        <v>292</v>
      </c>
      <c r="AL246" s="25" t="s">
        <v>294</v>
      </c>
      <c r="AM246" s="9"/>
      <c r="AN246" s="9"/>
      <c r="AO246" s="3"/>
      <c r="AP246" s="3"/>
      <c r="AQ246" s="3"/>
    </row>
    <row r="247" spans="3:50" ht="15" customHeight="1" x14ac:dyDescent="0.25">
      <c r="J247" s="139">
        <f>'(3) Variantenbewertung'!I$32</f>
        <v>0.9</v>
      </c>
      <c r="K247" s="139"/>
      <c r="L247" s="139"/>
      <c r="M247" s="139"/>
      <c r="N247" s="139">
        <f>'(3) Variantenbewertung'!$L$32</f>
        <v>0.9</v>
      </c>
      <c r="O247" s="139"/>
      <c r="P247" s="139"/>
      <c r="Q247" s="139"/>
      <c r="R247" s="139">
        <f>'(3) Variantenbewertung'!$O$32</f>
        <v>0.9</v>
      </c>
      <c r="S247" s="139"/>
      <c r="T247" s="139"/>
      <c r="U247" s="139"/>
      <c r="V247" s="139" t="str">
        <f>'(3) Variantenbewertung'!$R$32</f>
        <v>Bauweise wählen</v>
      </c>
      <c r="W247" s="139"/>
      <c r="X247" s="139"/>
      <c r="Y247" s="139"/>
      <c r="Z247" s="139" t="str">
        <f>'(3) Variantenbewertung'!$U$32</f>
        <v>Bauweise wählen</v>
      </c>
      <c r="AA247" s="139"/>
      <c r="AF247" s="8"/>
      <c r="AH247" s="8"/>
      <c r="AI247" s="8"/>
      <c r="AJ247" s="8"/>
      <c r="AK247" s="8"/>
      <c r="AL247" s="8"/>
      <c r="AM247" s="8"/>
      <c r="AN247" s="8"/>
      <c r="AO247" s="157"/>
    </row>
    <row r="248" spans="3:50" ht="15" customHeight="1" x14ac:dyDescent="0.25">
      <c r="J248" s="139">
        <f>'(3) Variantenbewertung'!I$35</f>
        <v>1</v>
      </c>
      <c r="K248" s="139"/>
      <c r="L248" s="139"/>
      <c r="M248" s="139"/>
      <c r="N248" s="139">
        <f>'(3) Variantenbewertung'!$L$35</f>
        <v>0.95</v>
      </c>
      <c r="O248" s="139"/>
      <c r="P248" s="139"/>
      <c r="Q248" s="139"/>
      <c r="R248" s="139">
        <f>'(3) Variantenbewertung'!$O$35</f>
        <v>1</v>
      </c>
      <c r="S248" s="139"/>
      <c r="T248" s="139"/>
      <c r="U248" s="139"/>
      <c r="V248" s="139" t="str">
        <f>'(3) Variantenbewertung'!$R$35</f>
        <v/>
      </c>
      <c r="W248" s="139"/>
      <c r="X248" s="139"/>
      <c r="Y248" s="139"/>
      <c r="Z248" s="139" t="str">
        <f>'(3) Variantenbewertung'!$U$35</f>
        <v/>
      </c>
      <c r="AA248" s="139"/>
      <c r="AF248" s="8"/>
      <c r="AH248" s="8"/>
      <c r="AI248" s="8"/>
      <c r="AJ248" s="8"/>
      <c r="AK248" s="8"/>
      <c r="AL248" s="8"/>
      <c r="AM248" s="8"/>
      <c r="AN248" s="8"/>
      <c r="AO248" s="157"/>
    </row>
    <row r="249" spans="3:50" s="5" customFormat="1" ht="15" customHeight="1" x14ac:dyDescent="0.25">
      <c r="C249" s="266" t="s">
        <v>362</v>
      </c>
      <c r="D249" s="266"/>
      <c r="E249" s="266"/>
      <c r="F249" s="266"/>
      <c r="G249" s="28"/>
      <c r="H249" s="28"/>
      <c r="I249" s="28"/>
      <c r="J249" s="18"/>
      <c r="K249" s="18"/>
      <c r="L249" s="18"/>
      <c r="M249" s="18"/>
      <c r="N249" s="18"/>
      <c r="O249" s="18"/>
      <c r="P249" s="18"/>
      <c r="Q249" s="18"/>
      <c r="R249" s="18"/>
      <c r="S249" s="18"/>
      <c r="T249" s="18"/>
      <c r="U249" s="18"/>
      <c r="V249" s="18"/>
      <c r="W249" s="18"/>
      <c r="X249" s="18"/>
      <c r="Y249" s="18"/>
      <c r="Z249" s="18"/>
      <c r="AA249" s="18"/>
      <c r="AB249" s="18"/>
      <c r="AD249" s="51"/>
      <c r="AF249" s="27"/>
      <c r="AG249" s="28"/>
      <c r="AH249" s="27"/>
      <c r="AI249" s="309"/>
      <c r="AJ249" s="309"/>
      <c r="AK249" s="309"/>
      <c r="AL249" s="309"/>
      <c r="AO249" s="7"/>
    </row>
    <row r="250" spans="3:50" s="5" customFormat="1" ht="15" customHeight="1" x14ac:dyDescent="0.25">
      <c r="C250" s="28"/>
      <c r="D250" s="309" t="s">
        <v>257</v>
      </c>
      <c r="E250" s="324"/>
      <c r="F250" s="324"/>
      <c r="G250" s="28"/>
      <c r="H250" s="28"/>
      <c r="I250" s="70"/>
      <c r="J250" s="316" t="str">
        <f>IF(ISBLANK('(3) Variantenbewertung'!$I$11),"",'(3) Variantenbewertung'!$I$11)</f>
        <v>V1</v>
      </c>
      <c r="K250" s="316"/>
      <c r="L250" s="18"/>
      <c r="M250" s="18"/>
      <c r="N250" s="316" t="str">
        <f>IF(ISBLANK('(3) Variantenbewertung'!$L$11),"",'(3) Variantenbewertung'!$L$11)</f>
        <v>V2</v>
      </c>
      <c r="O250" s="316"/>
      <c r="P250" s="18"/>
      <c r="Q250" s="18"/>
      <c r="R250" s="316" t="str">
        <f>IF(ISBLANK('(3) Variantenbewertung'!$O$11),"",'(3) Variantenbewertung'!$O$11)</f>
        <v>V3</v>
      </c>
      <c r="S250" s="316"/>
      <c r="T250" s="55"/>
      <c r="U250" s="18"/>
      <c r="V250" s="316" t="str">
        <f>IF(ISBLANK('(3) Variantenbewertung'!$R$11),"",'(3) Variantenbewertung'!$R$11)</f>
        <v/>
      </c>
      <c r="W250" s="316"/>
      <c r="X250" s="18"/>
      <c r="Y250" s="18"/>
      <c r="Z250" s="316" t="str">
        <f>IF(ISBLANK('(3) Variantenbewertung'!$U$11),"",'(3) Variantenbewertung'!$U$11)</f>
        <v/>
      </c>
      <c r="AA250" s="316"/>
      <c r="AB250" s="18"/>
      <c r="AD250" s="51"/>
      <c r="AF250" s="27"/>
      <c r="AG250" s="28"/>
      <c r="AH250" s="27"/>
      <c r="AI250" s="28"/>
      <c r="AJ250" s="28"/>
      <c r="AK250" s="28"/>
      <c r="AL250" s="28"/>
      <c r="AO250" s="7"/>
    </row>
    <row r="251" spans="3:50" s="5" customFormat="1" ht="15" customHeight="1" x14ac:dyDescent="0.25">
      <c r="C251" s="28"/>
      <c r="D251" s="28"/>
      <c r="E251" s="28"/>
      <c r="F251" s="28"/>
      <c r="G251" s="28"/>
      <c r="H251" s="28"/>
      <c r="I251" s="28"/>
      <c r="J251" s="132" t="s">
        <v>221</v>
      </c>
      <c r="K251" s="133" t="s">
        <v>222</v>
      </c>
      <c r="L251" s="126"/>
      <c r="M251" s="17"/>
      <c r="N251" s="132" t="s">
        <v>221</v>
      </c>
      <c r="O251" s="133" t="s">
        <v>222</v>
      </c>
      <c r="P251" s="126"/>
      <c r="Q251" s="17"/>
      <c r="R251" s="132" t="s">
        <v>221</v>
      </c>
      <c r="S251" s="133" t="s">
        <v>222</v>
      </c>
      <c r="T251" s="126"/>
      <c r="U251" s="17"/>
      <c r="V251" s="132" t="s">
        <v>221</v>
      </c>
      <c r="W251" s="133" t="s">
        <v>222</v>
      </c>
      <c r="X251" s="126"/>
      <c r="Y251" s="17"/>
      <c r="Z251" s="132" t="s">
        <v>221</v>
      </c>
      <c r="AA251" s="133" t="s">
        <v>222</v>
      </c>
      <c r="AB251" s="17"/>
      <c r="AD251" s="51"/>
      <c r="AF251" s="27"/>
      <c r="AG251" s="28"/>
      <c r="AH251" s="27"/>
      <c r="AI251" s="294"/>
      <c r="AJ251" s="294"/>
      <c r="AK251" s="294"/>
      <c r="AL251" s="294"/>
      <c r="AO251" s="7"/>
    </row>
    <row r="252" spans="3:50" s="5" customFormat="1" ht="15" customHeight="1" x14ac:dyDescent="0.25">
      <c r="C252" s="28"/>
      <c r="D252" s="28"/>
      <c r="E252" s="27"/>
      <c r="F252" s="27"/>
      <c r="G252" s="28"/>
      <c r="H252" s="28"/>
      <c r="I252" s="28"/>
      <c r="J252" s="125" t="s">
        <v>66</v>
      </c>
      <c r="K252" s="53" t="str">
        <f>IF(NOT(K256="keine Korrektur"),"Bitte begründen:","")</f>
        <v/>
      </c>
      <c r="L252" s="127"/>
      <c r="M252" s="17"/>
      <c r="N252" s="125" t="s">
        <v>66</v>
      </c>
      <c r="O252" s="53" t="str">
        <f>IF(NOT(O256="keine Korrektur"),"Bitte begründen:","")</f>
        <v/>
      </c>
      <c r="P252" s="127"/>
      <c r="Q252" s="17"/>
      <c r="R252" s="125" t="s">
        <v>66</v>
      </c>
      <c r="S252" s="53" t="str">
        <f>IF(NOT(S256="keine Korrektur"),"Bitte begründen:","")</f>
        <v/>
      </c>
      <c r="T252" s="127"/>
      <c r="U252" s="17"/>
      <c r="V252" s="125" t="s">
        <v>66</v>
      </c>
      <c r="W252" s="53" t="str">
        <f>IF(NOT(W256="keine Korrektur"),"Bitte begründen:","")</f>
        <v/>
      </c>
      <c r="X252" s="127"/>
      <c r="Y252" s="17"/>
      <c r="Z252" s="125" t="s">
        <v>66</v>
      </c>
      <c r="AA252" s="53" t="str">
        <f>IF(NOT(AA256="keine Korrektur"),"Bitte begründen:","")</f>
        <v/>
      </c>
      <c r="AB252" s="17"/>
      <c r="AD252" s="51"/>
      <c r="AF252" s="27"/>
      <c r="AG252" s="27"/>
      <c r="AH252" s="27"/>
      <c r="AI252" s="27"/>
      <c r="AJ252" s="27"/>
      <c r="AK252" s="27"/>
      <c r="AL252" s="27"/>
      <c r="AO252" s="7"/>
    </row>
    <row r="253" spans="3:50" s="5" customFormat="1" ht="75" customHeight="1" x14ac:dyDescent="0.25">
      <c r="C253" s="28"/>
      <c r="D253" s="30"/>
      <c r="E253" s="265" t="str">
        <f>AI253</f>
        <v>Die Leitströmung ist über die gesamte Tiefe des Einstiegs wirksam und möglichst gleichförmig. Die Fliessgeschwindigkeit am Einstieg entspricht der Fliessgeschwindigkeit in den Engstellen und wird auch bei Pegelschwankungen im Unterwasser weitgehend konstant gehalten.</v>
      </c>
      <c r="F253" s="265"/>
      <c r="G253" s="28"/>
      <c r="H253" s="28"/>
      <c r="I253" s="28"/>
      <c r="J253" s="199" t="s">
        <v>178</v>
      </c>
      <c r="K253" s="318"/>
      <c r="L253" s="20"/>
      <c r="M253" s="18"/>
      <c r="N253" s="199"/>
      <c r="O253" s="318"/>
      <c r="P253" s="20"/>
      <c r="Q253" s="18"/>
      <c r="R253" s="199" t="s">
        <v>178</v>
      </c>
      <c r="S253" s="318"/>
      <c r="T253" s="20"/>
      <c r="U253" s="20"/>
      <c r="V253" s="199"/>
      <c r="W253" s="318"/>
      <c r="X253" s="20"/>
      <c r="Y253" s="18"/>
      <c r="Z253" s="199"/>
      <c r="AA253" s="318"/>
      <c r="AB253" s="18"/>
      <c r="AD253" s="51"/>
      <c r="AF253" s="66"/>
      <c r="AG253" s="305" t="s">
        <v>10</v>
      </c>
      <c r="AH253" s="306"/>
      <c r="AI253" s="298" t="s">
        <v>481</v>
      </c>
      <c r="AJ253" s="227"/>
      <c r="AK253" s="227"/>
      <c r="AL253" s="228"/>
      <c r="AO253" s="7"/>
    </row>
    <row r="254" spans="3:50" s="5" customFormat="1" ht="75" customHeight="1" x14ac:dyDescent="0.25">
      <c r="C254" s="36"/>
      <c r="D254" s="35"/>
      <c r="E254" s="265" t="str">
        <f>AI254</f>
        <v>Die Ausprägung der Leitströmung variiert leicht über die Tiefe des Einstiegs. Die Fliessgeschwindigkeit am Einstieg ist geringfügig tiefer / höher als die Fliessgeschwindigkeit in den Engstellen und variiert leicht in Abhängigkeit des Unterwasserspiegels.</v>
      </c>
      <c r="F254" s="265"/>
      <c r="G254" s="28"/>
      <c r="H254" s="28"/>
      <c r="I254" s="28"/>
      <c r="J254" s="99"/>
      <c r="K254" s="319"/>
      <c r="L254" s="20"/>
      <c r="M254" s="18"/>
      <c r="N254" s="99" t="s">
        <v>178</v>
      </c>
      <c r="O254" s="319"/>
      <c r="P254" s="20"/>
      <c r="Q254" s="18"/>
      <c r="R254" s="99"/>
      <c r="S254" s="319"/>
      <c r="T254" s="20"/>
      <c r="U254" s="18"/>
      <c r="V254" s="99"/>
      <c r="W254" s="319"/>
      <c r="X254" s="20"/>
      <c r="Y254" s="18"/>
      <c r="Z254" s="99"/>
      <c r="AA254" s="319"/>
      <c r="AB254" s="18"/>
      <c r="AD254" s="51"/>
      <c r="AF254" s="31"/>
      <c r="AG254" s="305" t="s">
        <v>42</v>
      </c>
      <c r="AH254" s="306"/>
      <c r="AI254" s="298" t="s">
        <v>165</v>
      </c>
      <c r="AJ254" s="227"/>
      <c r="AK254" s="227"/>
      <c r="AL254" s="228"/>
      <c r="AO254" s="7"/>
    </row>
    <row r="255" spans="3:50" s="5" customFormat="1" ht="75" customHeight="1" x14ac:dyDescent="0.25">
      <c r="C255" s="28"/>
      <c r="D255" s="32"/>
      <c r="E255" s="265" t="str">
        <f>AI255</f>
        <v>Die Ausprägung der Leitströmung variiert stark über die Tiefe des Einstiegs. Die Fliessgeschwindigkeit am Einstieg ist tiefer / höher als die Fliessgeschwindigkeit in den Engstellen und variiert stark in Abhängigkeit des Unterwasserspiegels.</v>
      </c>
      <c r="F255" s="265"/>
      <c r="G255" s="28"/>
      <c r="H255" s="28"/>
      <c r="I255" s="28"/>
      <c r="J255" s="99"/>
      <c r="K255" s="320"/>
      <c r="L255" s="20"/>
      <c r="M255" s="18"/>
      <c r="N255" s="99"/>
      <c r="O255" s="320"/>
      <c r="P255" s="20"/>
      <c r="Q255" s="18"/>
      <c r="R255" s="99"/>
      <c r="S255" s="320"/>
      <c r="T255" s="20"/>
      <c r="U255" s="18"/>
      <c r="V255" s="99"/>
      <c r="W255" s="320"/>
      <c r="X255" s="20"/>
      <c r="Y255" s="18"/>
      <c r="Z255" s="99"/>
      <c r="AA255" s="320"/>
      <c r="AB255" s="18"/>
      <c r="AD255" s="51"/>
      <c r="AF255" s="32"/>
      <c r="AG255" s="305" t="s">
        <v>43</v>
      </c>
      <c r="AH255" s="306"/>
      <c r="AI255" s="298" t="s">
        <v>166</v>
      </c>
      <c r="AJ255" s="227"/>
      <c r="AK255" s="227"/>
      <c r="AL255" s="228"/>
      <c r="AO255" s="7"/>
    </row>
    <row r="256" spans="3:50" s="5" customFormat="1" ht="15" customHeight="1" x14ac:dyDescent="0.25">
      <c r="C256" s="28"/>
      <c r="D256" s="28"/>
      <c r="E256" s="28"/>
      <c r="F256" s="28"/>
      <c r="G256" s="28"/>
      <c r="H256" s="28"/>
      <c r="I256" s="28"/>
      <c r="J256" s="25" t="str">
        <f>IF(COUNTIF(J$253:J$255,"x")&lt;&gt;1,"FEHLER",IF(J$253="x","gut",IF(J$254="x","mässig","schlecht")))</f>
        <v>gut</v>
      </c>
      <c r="K256" s="99" t="s">
        <v>45</v>
      </c>
      <c r="L256" s="20"/>
      <c r="M256" s="18"/>
      <c r="N256" s="25" t="str">
        <f>IF(COUNTIF(N$253:N$255,"x")&lt;&gt;1,"FEHLER",IF(N$253="x","gut",IF(N$254="x","mässig","schlecht")))</f>
        <v>mässig</v>
      </c>
      <c r="O256" s="99" t="s">
        <v>45</v>
      </c>
      <c r="P256" s="20"/>
      <c r="Q256" s="18"/>
      <c r="R256" s="25" t="str">
        <f>IF(COUNTIF(R$253:R$255,"x")&lt;&gt;1,"FEHLER",IF(R$253="x","gut",IF(R$254="x","mässig","schlecht")))</f>
        <v>gut</v>
      </c>
      <c r="S256" s="99" t="s">
        <v>45</v>
      </c>
      <c r="T256" s="20"/>
      <c r="U256" s="18"/>
      <c r="V256" s="25" t="str">
        <f>IF(COUNTIF(V$253:V$255,"x")&lt;&gt;1,"FEHLER",IF(V$253="x","gut",IF(V$254="x","mässig","schlecht")))</f>
        <v>FEHLER</v>
      </c>
      <c r="W256" s="99" t="s">
        <v>45</v>
      </c>
      <c r="X256" s="20"/>
      <c r="Y256" s="18"/>
      <c r="Z256" s="25" t="str">
        <f>IF(COUNTIF(Z$253:Z$255,"x")&lt;&gt;1,"FEHLER",IF(Z$253="x","gut",IF(Z$254="x","mässig","schlecht")))</f>
        <v>FEHLER</v>
      </c>
      <c r="AA256" s="99" t="s">
        <v>45</v>
      </c>
      <c r="AB256" s="18"/>
      <c r="AD256" s="51"/>
      <c r="AF256" s="28"/>
      <c r="AG256" s="28"/>
      <c r="AH256" s="28"/>
      <c r="AI256" s="27"/>
      <c r="AJ256" s="27"/>
      <c r="AK256" s="28"/>
      <c r="AL256" s="28"/>
      <c r="AO256" s="7"/>
    </row>
    <row r="257" spans="3:41" s="5" customFormat="1" ht="15" customHeight="1" x14ac:dyDescent="0.25">
      <c r="C257" s="28"/>
      <c r="D257" s="28"/>
      <c r="E257" s="28"/>
      <c r="F257" s="28"/>
      <c r="G257" s="28"/>
      <c r="H257" s="28"/>
      <c r="I257" s="28"/>
      <c r="J257" s="18"/>
      <c r="K257" s="18"/>
      <c r="L257" s="18"/>
      <c r="M257" s="18"/>
      <c r="N257" s="18"/>
      <c r="O257" s="18"/>
      <c r="P257" s="18"/>
      <c r="Q257" s="18"/>
      <c r="R257" s="18"/>
      <c r="S257" s="18"/>
      <c r="T257" s="18"/>
      <c r="U257" s="18"/>
      <c r="V257" s="18"/>
      <c r="W257" s="18"/>
      <c r="X257" s="18"/>
      <c r="Y257" s="18"/>
      <c r="Z257" s="18"/>
      <c r="AA257" s="18"/>
      <c r="AB257" s="18"/>
      <c r="AD257" s="51"/>
      <c r="AF257" s="28"/>
      <c r="AG257" s="28"/>
      <c r="AH257" s="28"/>
      <c r="AI257" s="27"/>
      <c r="AJ257" s="27"/>
      <c r="AK257" s="28"/>
      <c r="AL257" s="28"/>
      <c r="AO257" s="7"/>
    </row>
    <row r="258" spans="3:41" s="5" customFormat="1" ht="15" customHeight="1" x14ac:dyDescent="0.25">
      <c r="J258" s="1"/>
      <c r="K258" s="1"/>
      <c r="L258" s="1"/>
      <c r="M258" s="1"/>
      <c r="N258" s="1"/>
      <c r="O258" s="1"/>
      <c r="P258" s="1"/>
      <c r="Q258" s="1"/>
      <c r="R258" s="1"/>
      <c r="S258" s="1"/>
      <c r="T258" s="1"/>
      <c r="U258" s="1"/>
      <c r="V258" s="1"/>
      <c r="W258" s="1"/>
      <c r="X258" s="1"/>
      <c r="Y258" s="1"/>
      <c r="Z258" s="1"/>
      <c r="AA258" s="1"/>
      <c r="AB258" s="1"/>
      <c r="AD258" s="51"/>
      <c r="AO258" s="7"/>
    </row>
    <row r="259" spans="3:41" s="5" customFormat="1" ht="15" customHeight="1" x14ac:dyDescent="0.25">
      <c r="J259" s="1"/>
      <c r="K259" s="1"/>
      <c r="L259" s="1"/>
      <c r="M259" s="1"/>
      <c r="N259" s="1"/>
      <c r="O259" s="1"/>
      <c r="P259" s="1"/>
      <c r="Q259" s="1"/>
      <c r="R259" s="1"/>
      <c r="S259" s="1"/>
      <c r="T259" s="1"/>
      <c r="U259" s="1"/>
      <c r="V259" s="1"/>
      <c r="W259" s="1"/>
      <c r="X259" s="1"/>
      <c r="Y259" s="1"/>
      <c r="Z259" s="1"/>
      <c r="AA259" s="1"/>
      <c r="AB259" s="1"/>
      <c r="AD259" s="51"/>
      <c r="AO259" s="7"/>
    </row>
    <row r="260" spans="3:41" s="5" customFormat="1" ht="15" customHeight="1" x14ac:dyDescent="0.25">
      <c r="C260" s="266" t="s">
        <v>363</v>
      </c>
      <c r="D260" s="266"/>
      <c r="E260" s="266"/>
      <c r="F260" s="266"/>
      <c r="G260" s="28"/>
      <c r="H260" s="28"/>
      <c r="I260" s="28"/>
      <c r="J260" s="18"/>
      <c r="K260" s="18"/>
      <c r="L260" s="18"/>
      <c r="M260" s="18"/>
      <c r="N260" s="18"/>
      <c r="O260" s="18"/>
      <c r="P260" s="18"/>
      <c r="Q260" s="18"/>
      <c r="R260" s="18"/>
      <c r="S260" s="18"/>
      <c r="T260" s="18"/>
      <c r="U260" s="18"/>
      <c r="V260" s="18"/>
      <c r="W260" s="18"/>
      <c r="X260" s="18"/>
      <c r="Y260" s="18"/>
      <c r="Z260" s="18"/>
      <c r="AA260" s="18"/>
      <c r="AB260" s="18"/>
      <c r="AD260" s="51"/>
      <c r="AF260" s="27"/>
      <c r="AG260" s="28"/>
      <c r="AH260" s="27"/>
      <c r="AI260" s="309"/>
      <c r="AJ260" s="309"/>
      <c r="AK260" s="309"/>
      <c r="AL260" s="309"/>
      <c r="AO260" s="7"/>
    </row>
    <row r="261" spans="3:41" s="5" customFormat="1" ht="15" customHeight="1" x14ac:dyDescent="0.25">
      <c r="C261" s="28"/>
      <c r="D261" s="309" t="s">
        <v>258</v>
      </c>
      <c r="E261" s="324"/>
      <c r="F261" s="324"/>
      <c r="G261" s="28"/>
      <c r="H261" s="28"/>
      <c r="I261" s="70"/>
      <c r="J261" s="316" t="str">
        <f>IF(ISBLANK('(3) Variantenbewertung'!$I$11),"",'(3) Variantenbewertung'!$I$11)</f>
        <v>V1</v>
      </c>
      <c r="K261" s="316"/>
      <c r="L261" s="18"/>
      <c r="M261" s="18"/>
      <c r="N261" s="316" t="str">
        <f>IF(ISBLANK('(3) Variantenbewertung'!$L$11),"",'(3) Variantenbewertung'!$L$11)</f>
        <v>V2</v>
      </c>
      <c r="O261" s="316"/>
      <c r="P261" s="18"/>
      <c r="Q261" s="18"/>
      <c r="R261" s="316" t="str">
        <f>IF(ISBLANK('(3) Variantenbewertung'!$O$11),"",'(3) Variantenbewertung'!$O$11)</f>
        <v>V3</v>
      </c>
      <c r="S261" s="316"/>
      <c r="T261" s="55"/>
      <c r="U261" s="18"/>
      <c r="V261" s="316" t="str">
        <f>IF(ISBLANK('(3) Variantenbewertung'!$R$11),"",'(3) Variantenbewertung'!$R$11)</f>
        <v/>
      </c>
      <c r="W261" s="316"/>
      <c r="X261" s="18"/>
      <c r="Y261" s="18"/>
      <c r="Z261" s="316" t="str">
        <f>IF(ISBLANK('(3) Variantenbewertung'!$U$11),"",'(3) Variantenbewertung'!$U$11)</f>
        <v/>
      </c>
      <c r="AA261" s="316"/>
      <c r="AB261" s="18"/>
      <c r="AD261" s="51"/>
      <c r="AF261" s="27"/>
      <c r="AG261" s="28"/>
      <c r="AH261" s="27"/>
      <c r="AI261" s="28"/>
      <c r="AJ261" s="28"/>
      <c r="AK261" s="28"/>
      <c r="AL261" s="28"/>
      <c r="AO261" s="7"/>
    </row>
    <row r="262" spans="3:41" s="5" customFormat="1" ht="15" customHeight="1" x14ac:dyDescent="0.25">
      <c r="C262" s="28"/>
      <c r="D262" s="28"/>
      <c r="E262" s="28"/>
      <c r="F262" s="28"/>
      <c r="G262" s="28"/>
      <c r="H262" s="28"/>
      <c r="I262" s="28"/>
      <c r="J262" s="132" t="s">
        <v>221</v>
      </c>
      <c r="K262" s="133" t="s">
        <v>222</v>
      </c>
      <c r="L262" s="126"/>
      <c r="M262" s="17"/>
      <c r="N262" s="132" t="s">
        <v>221</v>
      </c>
      <c r="O262" s="133" t="s">
        <v>222</v>
      </c>
      <c r="P262" s="126"/>
      <c r="Q262" s="17"/>
      <c r="R262" s="132" t="s">
        <v>221</v>
      </c>
      <c r="S262" s="133" t="s">
        <v>222</v>
      </c>
      <c r="T262" s="126"/>
      <c r="U262" s="17"/>
      <c r="V262" s="132" t="s">
        <v>221</v>
      </c>
      <c r="W262" s="133" t="s">
        <v>222</v>
      </c>
      <c r="X262" s="126"/>
      <c r="Y262" s="17"/>
      <c r="Z262" s="132" t="s">
        <v>221</v>
      </c>
      <c r="AA262" s="133" t="s">
        <v>222</v>
      </c>
      <c r="AB262" s="17"/>
      <c r="AD262" s="51"/>
      <c r="AF262" s="27"/>
      <c r="AG262" s="28"/>
      <c r="AH262" s="27"/>
      <c r="AI262" s="294"/>
      <c r="AJ262" s="294"/>
      <c r="AK262" s="294"/>
      <c r="AL262" s="294"/>
      <c r="AO262" s="7"/>
    </row>
    <row r="263" spans="3:41" s="5" customFormat="1" ht="15" customHeight="1" x14ac:dyDescent="0.25">
      <c r="C263" s="28"/>
      <c r="D263" s="28"/>
      <c r="E263" s="27"/>
      <c r="F263" s="27"/>
      <c r="G263" s="28"/>
      <c r="H263" s="28"/>
      <c r="I263" s="28"/>
      <c r="J263" s="125" t="s">
        <v>66</v>
      </c>
      <c r="K263" s="53" t="str">
        <f>IF(NOT(K267="keine Korrektur"),"Bitte begründen:","")</f>
        <v/>
      </c>
      <c r="L263" s="127"/>
      <c r="M263" s="17"/>
      <c r="N263" s="125" t="s">
        <v>66</v>
      </c>
      <c r="O263" s="53" t="str">
        <f>IF(NOT(O267="keine Korrektur"),"Bitte begründen:","")</f>
        <v/>
      </c>
      <c r="P263" s="127"/>
      <c r="Q263" s="17"/>
      <c r="R263" s="125" t="s">
        <v>66</v>
      </c>
      <c r="S263" s="53" t="str">
        <f>IF(NOT(S267="keine Korrektur"),"Bitte begründen:","")</f>
        <v/>
      </c>
      <c r="T263" s="127"/>
      <c r="U263" s="17"/>
      <c r="V263" s="125" t="s">
        <v>66</v>
      </c>
      <c r="W263" s="53" t="str">
        <f>IF(NOT(W267="keine Korrektur"),"Bitte begründen:","")</f>
        <v/>
      </c>
      <c r="X263" s="127"/>
      <c r="Y263" s="17"/>
      <c r="Z263" s="125" t="s">
        <v>66</v>
      </c>
      <c r="AA263" s="53" t="str">
        <f>IF(NOT(AA267="keine Korrektur"),"Bitte begründen:","")</f>
        <v/>
      </c>
      <c r="AB263" s="17"/>
      <c r="AD263" s="51"/>
      <c r="AF263" s="27"/>
      <c r="AG263" s="27"/>
      <c r="AH263" s="27"/>
      <c r="AI263" s="27"/>
      <c r="AJ263" s="27"/>
      <c r="AK263" s="27"/>
      <c r="AL263" s="27"/>
      <c r="AO263" s="7"/>
    </row>
    <row r="264" spans="3:41" s="5" customFormat="1" ht="15" customHeight="1" x14ac:dyDescent="0.25">
      <c r="C264" s="28"/>
      <c r="D264" s="30"/>
      <c r="E264" s="265" t="str">
        <f>AI264</f>
        <v>keine Richtungswechsel</v>
      </c>
      <c r="F264" s="265"/>
      <c r="G264" s="28"/>
      <c r="H264" s="28"/>
      <c r="I264" s="28"/>
      <c r="J264" s="199" t="s">
        <v>178</v>
      </c>
      <c r="K264" s="318"/>
      <c r="L264" s="20"/>
      <c r="M264" s="18"/>
      <c r="N264" s="199"/>
      <c r="O264" s="318"/>
      <c r="P264" s="20"/>
      <c r="Q264" s="18"/>
      <c r="R264" s="199"/>
      <c r="S264" s="318"/>
      <c r="T264" s="20"/>
      <c r="U264" s="20"/>
      <c r="V264" s="199"/>
      <c r="W264" s="318"/>
      <c r="X264" s="20"/>
      <c r="Y264" s="18"/>
      <c r="Z264" s="199"/>
      <c r="AA264" s="318"/>
      <c r="AB264" s="18"/>
      <c r="AD264" s="51"/>
      <c r="AF264" s="66"/>
      <c r="AG264" s="305" t="s">
        <v>10</v>
      </c>
      <c r="AH264" s="306"/>
      <c r="AI264" s="298" t="s">
        <v>500</v>
      </c>
      <c r="AJ264" s="227"/>
      <c r="AK264" s="227"/>
      <c r="AL264" s="228"/>
      <c r="AO264" s="7"/>
    </row>
    <row r="265" spans="3:41" s="5" customFormat="1" ht="15" customHeight="1" x14ac:dyDescent="0.25">
      <c r="C265" s="36"/>
      <c r="D265" s="35"/>
      <c r="E265" s="265" t="str">
        <f>AI265</f>
        <v>1 bis 3 Richtungswechsel</v>
      </c>
      <c r="F265" s="265"/>
      <c r="G265" s="28"/>
      <c r="H265" s="28"/>
      <c r="I265" s="28"/>
      <c r="J265" s="99"/>
      <c r="K265" s="319"/>
      <c r="L265" s="20"/>
      <c r="M265" s="18"/>
      <c r="N265" s="99" t="s">
        <v>178</v>
      </c>
      <c r="O265" s="319"/>
      <c r="P265" s="20"/>
      <c r="Q265" s="18"/>
      <c r="R265" s="99" t="s">
        <v>178</v>
      </c>
      <c r="S265" s="319"/>
      <c r="T265" s="20"/>
      <c r="U265" s="18"/>
      <c r="V265" s="99"/>
      <c r="W265" s="319"/>
      <c r="X265" s="20"/>
      <c r="Y265" s="18"/>
      <c r="Z265" s="99"/>
      <c r="AA265" s="319"/>
      <c r="AB265" s="18"/>
      <c r="AD265" s="51"/>
      <c r="AF265" s="31"/>
      <c r="AG265" s="305" t="s">
        <v>42</v>
      </c>
      <c r="AH265" s="306"/>
      <c r="AI265" s="298" t="s">
        <v>501</v>
      </c>
      <c r="AJ265" s="227"/>
      <c r="AK265" s="227"/>
      <c r="AL265" s="228"/>
      <c r="AO265" s="7"/>
    </row>
    <row r="266" spans="3:41" s="5" customFormat="1" ht="15" customHeight="1" x14ac:dyDescent="0.25">
      <c r="C266" s="28"/>
      <c r="D266" s="32"/>
      <c r="E266" s="265" t="str">
        <f>AI266</f>
        <v>&gt; 3 Richtungswechsel</v>
      </c>
      <c r="F266" s="265"/>
      <c r="G266" s="28"/>
      <c r="H266" s="28"/>
      <c r="I266" s="28"/>
      <c r="J266" s="99"/>
      <c r="K266" s="320"/>
      <c r="L266" s="20"/>
      <c r="M266" s="18"/>
      <c r="N266" s="99"/>
      <c r="O266" s="320"/>
      <c r="P266" s="20"/>
      <c r="Q266" s="18"/>
      <c r="R266" s="99"/>
      <c r="S266" s="320"/>
      <c r="T266" s="20"/>
      <c r="U266" s="18"/>
      <c r="V266" s="99"/>
      <c r="W266" s="320"/>
      <c r="X266" s="20"/>
      <c r="Y266" s="18"/>
      <c r="Z266" s="99"/>
      <c r="AA266" s="320"/>
      <c r="AB266" s="18"/>
      <c r="AD266" s="51"/>
      <c r="AF266" s="32"/>
      <c r="AG266" s="305" t="s">
        <v>43</v>
      </c>
      <c r="AH266" s="306"/>
      <c r="AI266" s="298" t="s">
        <v>502</v>
      </c>
      <c r="AJ266" s="227"/>
      <c r="AK266" s="227"/>
      <c r="AL266" s="228"/>
      <c r="AO266" s="7"/>
    </row>
    <row r="267" spans="3:41" s="5" customFormat="1" ht="15" customHeight="1" x14ac:dyDescent="0.25">
      <c r="C267" s="28"/>
      <c r="D267" s="28"/>
      <c r="E267" s="28"/>
      <c r="F267" s="28"/>
      <c r="G267" s="28"/>
      <c r="H267" s="28"/>
      <c r="I267" s="28"/>
      <c r="J267" s="25" t="str">
        <f>IF(COUNTIF(J$264:J$266,"x")&lt;&gt;1,"FEHLER",IF(J$264="x","gut",IF(J$265="x","mässig","schlecht")))</f>
        <v>gut</v>
      </c>
      <c r="K267" s="99" t="s">
        <v>45</v>
      </c>
      <c r="L267" s="20"/>
      <c r="M267" s="18"/>
      <c r="N267" s="25" t="str">
        <f>IF(COUNTIF(N$264:N$266,"x")&lt;&gt;1,"FEHLER",IF(N$264="x","gut",IF(N$265="x","mässig","schlecht")))</f>
        <v>mässig</v>
      </c>
      <c r="O267" s="99" t="s">
        <v>45</v>
      </c>
      <c r="P267" s="20"/>
      <c r="Q267" s="18"/>
      <c r="R267" s="25" t="str">
        <f>IF(COUNTIF(R$264:R$266,"x")&lt;&gt;1,"FEHLER",IF(R$264="x","gut",IF(R$265="x","mässig","schlecht")))</f>
        <v>mässig</v>
      </c>
      <c r="S267" s="99" t="s">
        <v>45</v>
      </c>
      <c r="T267" s="20"/>
      <c r="U267" s="18"/>
      <c r="V267" s="25" t="str">
        <f>IF(COUNTIF(V$264:V$266,"x")&lt;&gt;1,"FEHLER",IF(V$264="x","gut",IF(V$265="x","mässig","schlecht")))</f>
        <v>FEHLER</v>
      </c>
      <c r="W267" s="99" t="s">
        <v>45</v>
      </c>
      <c r="X267" s="20"/>
      <c r="Y267" s="18"/>
      <c r="Z267" s="25" t="str">
        <f>IF(COUNTIF(Z$264:Z$266,"x")&lt;&gt;1,"FEHLER",IF(Z$264="x","gut",IF(Z$265="x","mässig","schlecht")))</f>
        <v>FEHLER</v>
      </c>
      <c r="AA267" s="99" t="s">
        <v>45</v>
      </c>
      <c r="AB267" s="18"/>
      <c r="AD267" s="51"/>
      <c r="AF267" s="28"/>
      <c r="AG267" s="28"/>
      <c r="AH267" s="28"/>
      <c r="AI267" s="27"/>
      <c r="AJ267" s="27"/>
      <c r="AK267" s="28"/>
      <c r="AL267" s="28"/>
      <c r="AO267" s="7"/>
    </row>
    <row r="268" spans="3:41" s="5" customFormat="1" ht="15" customHeight="1" x14ac:dyDescent="0.25">
      <c r="C268" s="28"/>
      <c r="D268" s="28"/>
      <c r="E268" s="28"/>
      <c r="F268" s="28"/>
      <c r="G268" s="28"/>
      <c r="H268" s="28"/>
      <c r="I268" s="28"/>
      <c r="J268" s="18"/>
      <c r="K268" s="18"/>
      <c r="L268" s="18"/>
      <c r="M268" s="18"/>
      <c r="N268" s="18"/>
      <c r="O268" s="18"/>
      <c r="P268" s="18"/>
      <c r="Q268" s="18"/>
      <c r="R268" s="18"/>
      <c r="S268" s="18"/>
      <c r="T268" s="18"/>
      <c r="U268" s="18"/>
      <c r="V268" s="18"/>
      <c r="W268" s="18"/>
      <c r="X268" s="18"/>
      <c r="Y268" s="18"/>
      <c r="Z268" s="18"/>
      <c r="AA268" s="18"/>
      <c r="AB268" s="18"/>
      <c r="AD268" s="51"/>
      <c r="AF268" s="28"/>
      <c r="AG268" s="28"/>
      <c r="AH268" s="28"/>
      <c r="AI268" s="27"/>
      <c r="AJ268" s="27"/>
      <c r="AK268" s="28"/>
      <c r="AL268" s="28"/>
      <c r="AO268" s="7"/>
    </row>
    <row r="269" spans="3:41" s="5" customFormat="1" ht="15" customHeight="1" x14ac:dyDescent="0.25">
      <c r="J269" s="1"/>
      <c r="K269" s="1"/>
      <c r="L269" s="1"/>
      <c r="M269" s="1"/>
      <c r="N269" s="1"/>
      <c r="O269" s="1"/>
      <c r="P269" s="1"/>
      <c r="Q269" s="1"/>
      <c r="R269" s="1"/>
      <c r="S269" s="1"/>
      <c r="T269" s="1"/>
      <c r="U269" s="1"/>
      <c r="V269" s="1"/>
      <c r="W269" s="1"/>
      <c r="X269" s="1"/>
      <c r="Y269" s="1"/>
      <c r="Z269" s="1"/>
      <c r="AA269" s="1"/>
      <c r="AB269" s="1"/>
      <c r="AD269" s="51"/>
      <c r="AO269" s="7"/>
    </row>
    <row r="270" spans="3:41" s="5" customFormat="1" ht="15" customHeight="1" x14ac:dyDescent="0.25">
      <c r="J270" s="1"/>
      <c r="K270" s="1"/>
      <c r="L270" s="1"/>
      <c r="M270" s="1"/>
      <c r="N270" s="1"/>
      <c r="O270" s="1"/>
      <c r="P270" s="1"/>
      <c r="Q270" s="1"/>
      <c r="R270" s="1"/>
      <c r="S270" s="1"/>
      <c r="T270" s="1"/>
      <c r="U270" s="1"/>
      <c r="V270" s="1"/>
      <c r="W270" s="1"/>
      <c r="X270" s="1"/>
      <c r="Y270" s="1"/>
      <c r="Z270" s="1"/>
      <c r="AA270" s="1"/>
      <c r="AB270" s="1"/>
      <c r="AD270" s="51"/>
      <c r="AO270" s="7"/>
    </row>
    <row r="271" spans="3:41" s="5" customFormat="1" ht="15" customHeight="1" x14ac:dyDescent="0.25">
      <c r="C271" s="266" t="s">
        <v>364</v>
      </c>
      <c r="D271" s="266"/>
      <c r="E271" s="266"/>
      <c r="F271" s="266"/>
      <c r="G271" s="28"/>
      <c r="H271" s="28"/>
      <c r="I271" s="28"/>
      <c r="J271" s="18"/>
      <c r="K271" s="18"/>
      <c r="L271" s="18"/>
      <c r="M271" s="18"/>
      <c r="N271" s="18"/>
      <c r="O271" s="18"/>
      <c r="P271" s="18"/>
      <c r="Q271" s="18"/>
      <c r="R271" s="18"/>
      <c r="S271" s="18"/>
      <c r="T271" s="18"/>
      <c r="U271" s="18"/>
      <c r="V271" s="18"/>
      <c r="W271" s="18"/>
      <c r="X271" s="18"/>
      <c r="Y271" s="18"/>
      <c r="Z271" s="18"/>
      <c r="AA271" s="18"/>
      <c r="AB271" s="18"/>
      <c r="AD271" s="51"/>
      <c r="AF271" s="27"/>
      <c r="AG271" s="28"/>
      <c r="AH271" s="27"/>
      <c r="AI271" s="309"/>
      <c r="AJ271" s="309"/>
      <c r="AK271" s="309"/>
      <c r="AL271" s="309"/>
      <c r="AO271" s="7"/>
    </row>
    <row r="272" spans="3:41" s="5" customFormat="1" ht="15" customHeight="1" x14ac:dyDescent="0.25">
      <c r="C272" s="28"/>
      <c r="D272" s="28"/>
      <c r="E272" s="28"/>
      <c r="F272" s="28"/>
      <c r="G272" s="28"/>
      <c r="H272" s="28"/>
      <c r="I272" s="70"/>
      <c r="J272" s="316" t="str">
        <f>IF(ISBLANK('(3) Variantenbewertung'!$I$11),"",'(3) Variantenbewertung'!$I$11)</f>
        <v>V1</v>
      </c>
      <c r="K272" s="316"/>
      <c r="L272" s="18"/>
      <c r="M272" s="18"/>
      <c r="N272" s="316" t="str">
        <f>IF(ISBLANK('(3) Variantenbewertung'!$L$11),"",'(3) Variantenbewertung'!$L$11)</f>
        <v>V2</v>
      </c>
      <c r="O272" s="316"/>
      <c r="P272" s="18"/>
      <c r="Q272" s="18"/>
      <c r="R272" s="316" t="str">
        <f>IF(ISBLANK('(3) Variantenbewertung'!$O$11),"",'(3) Variantenbewertung'!$O$11)</f>
        <v>V3</v>
      </c>
      <c r="S272" s="316"/>
      <c r="T272" s="55"/>
      <c r="U272" s="18"/>
      <c r="V272" s="316" t="str">
        <f>IF(ISBLANK('(3) Variantenbewertung'!$R$11),"",'(3) Variantenbewertung'!$R$11)</f>
        <v/>
      </c>
      <c r="W272" s="316"/>
      <c r="X272" s="18"/>
      <c r="Y272" s="18"/>
      <c r="Z272" s="316" t="str">
        <f>IF(ISBLANK('(3) Variantenbewertung'!$U$11),"",'(3) Variantenbewertung'!$U$11)</f>
        <v/>
      </c>
      <c r="AA272" s="316"/>
      <c r="AB272" s="18"/>
      <c r="AD272" s="51"/>
      <c r="AF272" s="27"/>
      <c r="AG272" s="28"/>
      <c r="AH272" s="27"/>
      <c r="AI272" s="28"/>
      <c r="AJ272" s="28"/>
      <c r="AK272" s="28"/>
      <c r="AL272" s="28"/>
      <c r="AO272" s="7"/>
    </row>
    <row r="273" spans="3:41" s="5" customFormat="1" ht="15" customHeight="1" x14ac:dyDescent="0.25">
      <c r="C273" s="28"/>
      <c r="D273" s="28"/>
      <c r="E273" s="28"/>
      <c r="F273" s="28"/>
      <c r="G273" s="28"/>
      <c r="H273" s="28"/>
      <c r="I273" s="28"/>
      <c r="J273" s="132" t="s">
        <v>221</v>
      </c>
      <c r="K273" s="133" t="s">
        <v>222</v>
      </c>
      <c r="L273" s="126"/>
      <c r="M273" s="17"/>
      <c r="N273" s="132" t="s">
        <v>221</v>
      </c>
      <c r="O273" s="133" t="s">
        <v>222</v>
      </c>
      <c r="P273" s="126"/>
      <c r="Q273" s="17"/>
      <c r="R273" s="132" t="s">
        <v>221</v>
      </c>
      <c r="S273" s="133" t="s">
        <v>222</v>
      </c>
      <c r="T273" s="126"/>
      <c r="U273" s="17"/>
      <c r="V273" s="132" t="s">
        <v>221</v>
      </c>
      <c r="W273" s="133" t="s">
        <v>222</v>
      </c>
      <c r="X273" s="126"/>
      <c r="Y273" s="17"/>
      <c r="Z273" s="132" t="s">
        <v>221</v>
      </c>
      <c r="AA273" s="133" t="s">
        <v>222</v>
      </c>
      <c r="AB273" s="17"/>
      <c r="AD273" s="51"/>
      <c r="AF273" s="27"/>
      <c r="AG273" s="28"/>
      <c r="AH273" s="27"/>
      <c r="AI273" s="294"/>
      <c r="AJ273" s="294"/>
      <c r="AK273" s="294"/>
      <c r="AL273" s="294"/>
      <c r="AO273" s="7"/>
    </row>
    <row r="274" spans="3:41" s="5" customFormat="1" ht="15" customHeight="1" x14ac:dyDescent="0.25">
      <c r="C274" s="28"/>
      <c r="D274" s="28"/>
      <c r="E274" s="27"/>
      <c r="F274" s="27"/>
      <c r="G274" s="28"/>
      <c r="H274" s="28"/>
      <c r="I274" s="28"/>
      <c r="J274" s="125" t="s">
        <v>66</v>
      </c>
      <c r="K274" s="53" t="str">
        <f>IF(NOT(K278="keine Korrektur"),"Bitte begründen:","")</f>
        <v/>
      </c>
      <c r="L274" s="127"/>
      <c r="M274" s="17"/>
      <c r="N274" s="125" t="s">
        <v>66</v>
      </c>
      <c r="O274" s="53" t="str">
        <f>IF(NOT(O278="keine Korrektur"),"Bitte begründen:","")</f>
        <v/>
      </c>
      <c r="P274" s="127"/>
      <c r="Q274" s="17"/>
      <c r="R274" s="125" t="s">
        <v>66</v>
      </c>
      <c r="S274" s="53" t="str">
        <f>IF(NOT(S278="keine Korrektur"),"Bitte begründen:","")</f>
        <v/>
      </c>
      <c r="T274" s="127"/>
      <c r="U274" s="17"/>
      <c r="V274" s="125" t="s">
        <v>66</v>
      </c>
      <c r="W274" s="53" t="str">
        <f>IF(NOT(W278="keine Korrektur"),"Bitte begründen:","")</f>
        <v/>
      </c>
      <c r="X274" s="127"/>
      <c r="Y274" s="17"/>
      <c r="Z274" s="125" t="s">
        <v>66</v>
      </c>
      <c r="AA274" s="53" t="str">
        <f>IF(NOT(AA278="keine Korrektur"),"Bitte begründen:","")</f>
        <v/>
      </c>
      <c r="AB274" s="17"/>
      <c r="AD274" s="51"/>
      <c r="AF274" s="27"/>
      <c r="AG274" s="27"/>
      <c r="AH274" s="27"/>
      <c r="AI274" s="27"/>
      <c r="AJ274" s="27"/>
      <c r="AK274" s="27"/>
      <c r="AL274" s="27"/>
      <c r="AO274" s="7"/>
    </row>
    <row r="275" spans="3:41" s="5" customFormat="1" ht="36.6" customHeight="1" x14ac:dyDescent="0.25">
      <c r="C275" s="28"/>
      <c r="D275" s="30"/>
      <c r="E275" s="265" t="str">
        <f>AI275</f>
        <v>Es besteht ein durchgängiges, raues Sohlensubstrat aus Kies und/oder Geröll.</v>
      </c>
      <c r="F275" s="265"/>
      <c r="G275" s="28"/>
      <c r="H275" s="28"/>
      <c r="I275" s="28"/>
      <c r="J275" s="199" t="s">
        <v>178</v>
      </c>
      <c r="K275" s="318"/>
      <c r="L275" s="20"/>
      <c r="M275" s="18"/>
      <c r="N275" s="199" t="s">
        <v>178</v>
      </c>
      <c r="O275" s="318"/>
      <c r="P275" s="20"/>
      <c r="Q275" s="18"/>
      <c r="R275" s="199" t="s">
        <v>178</v>
      </c>
      <c r="S275" s="318"/>
      <c r="T275" s="20"/>
      <c r="U275" s="20"/>
      <c r="V275" s="199"/>
      <c r="W275" s="318"/>
      <c r="X275" s="20"/>
      <c r="Y275" s="18"/>
      <c r="Z275" s="199"/>
      <c r="AA275" s="318"/>
      <c r="AB275" s="18"/>
      <c r="AD275" s="51"/>
      <c r="AF275" s="66"/>
      <c r="AG275" s="305" t="s">
        <v>10</v>
      </c>
      <c r="AH275" s="306"/>
      <c r="AI275" s="298" t="s">
        <v>168</v>
      </c>
      <c r="AJ275" s="227"/>
      <c r="AK275" s="227"/>
      <c r="AL275" s="228"/>
      <c r="AM275" s="12"/>
      <c r="AN275" s="12"/>
      <c r="AO275" s="7"/>
    </row>
    <row r="276" spans="3:41" s="5" customFormat="1" ht="36.6" customHeight="1" x14ac:dyDescent="0.25">
      <c r="C276" s="36"/>
      <c r="D276" s="35"/>
      <c r="E276" s="265" t="str">
        <f>AI276</f>
        <v>Es besteht ein durchgängiges, mässig raues Sohlensubstrat.</v>
      </c>
      <c r="F276" s="265"/>
      <c r="G276" s="28"/>
      <c r="H276" s="28"/>
      <c r="I276" s="28"/>
      <c r="J276" s="99"/>
      <c r="K276" s="319"/>
      <c r="L276" s="20"/>
      <c r="M276" s="18"/>
      <c r="N276" s="99"/>
      <c r="O276" s="319"/>
      <c r="P276" s="20"/>
      <c r="Q276" s="18"/>
      <c r="R276" s="99"/>
      <c r="S276" s="319"/>
      <c r="T276" s="20"/>
      <c r="U276" s="18"/>
      <c r="V276" s="99"/>
      <c r="W276" s="319"/>
      <c r="X276" s="20"/>
      <c r="Y276" s="18"/>
      <c r="Z276" s="99"/>
      <c r="AA276" s="319"/>
      <c r="AB276" s="18"/>
      <c r="AD276" s="51"/>
      <c r="AF276" s="31"/>
      <c r="AG276" s="305" t="s">
        <v>42</v>
      </c>
      <c r="AH276" s="306"/>
      <c r="AI276" s="298" t="s">
        <v>167</v>
      </c>
      <c r="AJ276" s="227"/>
      <c r="AK276" s="227"/>
      <c r="AL276" s="228"/>
      <c r="AO276" s="7"/>
    </row>
    <row r="277" spans="3:41" s="5" customFormat="1" ht="36.6" customHeight="1" x14ac:dyDescent="0.25">
      <c r="C277" s="28"/>
      <c r="D277" s="32"/>
      <c r="E277" s="265" t="str">
        <f>AI277</f>
        <v>Das Sohlensubstrat ist nicht durchgängig (z.B. Querriegel), die Sohle ist glatt, es ist kein ausreichendes Lückensystem vorhanden.</v>
      </c>
      <c r="F277" s="265"/>
      <c r="G277" s="28"/>
      <c r="H277" s="28"/>
      <c r="I277" s="28"/>
      <c r="J277" s="99"/>
      <c r="K277" s="320"/>
      <c r="L277" s="20"/>
      <c r="M277" s="18"/>
      <c r="N277" s="99"/>
      <c r="O277" s="320"/>
      <c r="P277" s="20"/>
      <c r="Q277" s="18"/>
      <c r="R277" s="99"/>
      <c r="S277" s="320"/>
      <c r="T277" s="20"/>
      <c r="U277" s="18"/>
      <c r="V277" s="99"/>
      <c r="W277" s="320"/>
      <c r="X277" s="20"/>
      <c r="Y277" s="18"/>
      <c r="Z277" s="99"/>
      <c r="AA277" s="320"/>
      <c r="AB277" s="18"/>
      <c r="AD277" s="51"/>
      <c r="AF277" s="32"/>
      <c r="AG277" s="305" t="s">
        <v>43</v>
      </c>
      <c r="AH277" s="306"/>
      <c r="AI277" s="298" t="s">
        <v>110</v>
      </c>
      <c r="AJ277" s="227"/>
      <c r="AK277" s="227"/>
      <c r="AL277" s="228"/>
      <c r="AO277" s="7"/>
    </row>
    <row r="278" spans="3:41" s="5" customFormat="1" ht="15" customHeight="1" x14ac:dyDescent="0.25">
      <c r="C278" s="28"/>
      <c r="D278" s="28"/>
      <c r="E278" s="28"/>
      <c r="F278" s="28"/>
      <c r="G278" s="28"/>
      <c r="H278" s="28"/>
      <c r="I278" s="28"/>
      <c r="J278" s="25" t="str">
        <f>IF(COUNTIF(J$275:J$277,"x")&lt;&gt;1,"FEHLER",IF(J$275="x","gut",IF(J$276="x","mässig","schlecht")))</f>
        <v>gut</v>
      </c>
      <c r="K278" s="99" t="s">
        <v>45</v>
      </c>
      <c r="L278" s="20"/>
      <c r="M278" s="18"/>
      <c r="N278" s="25" t="str">
        <f>IF(COUNTIF(N$275:N$277,"x")&lt;&gt;1,"FEHLER",IF(N$275="x","gut",IF(N$276="x","mässig","schlecht")))</f>
        <v>gut</v>
      </c>
      <c r="O278" s="99" t="s">
        <v>45</v>
      </c>
      <c r="P278" s="20"/>
      <c r="Q278" s="18"/>
      <c r="R278" s="25" t="str">
        <f>IF(COUNTIF(R$275:R$277,"x")&lt;&gt;1,"FEHLER",IF(R$275="x","gut",IF(R$276="x","mässig","schlecht")))</f>
        <v>gut</v>
      </c>
      <c r="S278" s="99" t="s">
        <v>45</v>
      </c>
      <c r="T278" s="20"/>
      <c r="U278" s="18"/>
      <c r="V278" s="25" t="str">
        <f>IF(COUNTIF(V$275:V$277,"x")&lt;&gt;1,"FEHLER",IF(V$275="x","gut",IF(V$276="x","mässig","schlecht")))</f>
        <v>FEHLER</v>
      </c>
      <c r="W278" s="99" t="s">
        <v>45</v>
      </c>
      <c r="X278" s="20"/>
      <c r="Y278" s="18"/>
      <c r="Z278" s="25" t="str">
        <f>IF(COUNTIF(Z$275:Z$277,"x")&lt;&gt;1,"FEHLER",IF(Z$275="x","gut",IF(Z$276="x","mässig","schlecht")))</f>
        <v>FEHLER</v>
      </c>
      <c r="AA278" s="99" t="s">
        <v>45</v>
      </c>
      <c r="AB278" s="18"/>
      <c r="AC278" s="54"/>
      <c r="AD278" s="51"/>
      <c r="AF278" s="28"/>
      <c r="AG278" s="28"/>
      <c r="AH278" s="28"/>
      <c r="AI278" s="27"/>
      <c r="AJ278" s="27"/>
      <c r="AK278" s="28"/>
      <c r="AL278" s="28"/>
      <c r="AO278" s="7"/>
    </row>
    <row r="279" spans="3:41" s="5" customFormat="1" ht="15" customHeight="1" x14ac:dyDescent="0.25">
      <c r="C279" s="28"/>
      <c r="D279" s="28"/>
      <c r="E279" s="28"/>
      <c r="F279" s="28"/>
      <c r="G279" s="28"/>
      <c r="H279" s="28"/>
      <c r="I279" s="28"/>
      <c r="J279" s="18"/>
      <c r="K279" s="18"/>
      <c r="L279" s="18"/>
      <c r="M279" s="18"/>
      <c r="N279" s="18"/>
      <c r="O279" s="18"/>
      <c r="P279" s="18"/>
      <c r="Q279" s="18"/>
      <c r="R279" s="18"/>
      <c r="S279" s="18"/>
      <c r="T279" s="18"/>
      <c r="U279" s="18"/>
      <c r="V279" s="18"/>
      <c r="W279" s="18"/>
      <c r="X279" s="18"/>
      <c r="Y279" s="18"/>
      <c r="Z279" s="18"/>
      <c r="AA279" s="18"/>
      <c r="AB279" s="18"/>
      <c r="AC279" s="54"/>
      <c r="AD279" s="51"/>
      <c r="AF279" s="28"/>
      <c r="AG279" s="28"/>
      <c r="AH279" s="28"/>
      <c r="AI279" s="27"/>
      <c r="AJ279" s="27"/>
      <c r="AK279" s="28"/>
      <c r="AL279" s="28"/>
      <c r="AO279" s="7"/>
    </row>
    <row r="280" spans="3:41" s="5" customFormat="1" ht="15" customHeight="1" x14ac:dyDescent="0.25">
      <c r="J280" s="3"/>
      <c r="L280" s="3"/>
      <c r="M280" s="1"/>
      <c r="N280" s="3"/>
      <c r="O280" s="3"/>
      <c r="P280" s="3"/>
      <c r="Q280" s="1"/>
      <c r="R280" s="3"/>
      <c r="S280" s="3"/>
      <c r="T280" s="3"/>
      <c r="U280" s="1"/>
      <c r="V280" s="3"/>
      <c r="W280" s="3"/>
      <c r="X280" s="3"/>
      <c r="Y280" s="1"/>
      <c r="Z280" s="3"/>
      <c r="AA280" s="3"/>
      <c r="AB280" s="1"/>
      <c r="AD280" s="51"/>
      <c r="AO280" s="7"/>
    </row>
    <row r="281" spans="3:41" s="5" customFormat="1" ht="15" customHeight="1" x14ac:dyDescent="0.25">
      <c r="J281" s="3"/>
      <c r="K281" s="3"/>
      <c r="L281" s="3"/>
      <c r="M281" s="1"/>
      <c r="N281" s="3"/>
      <c r="O281" s="3"/>
      <c r="P281" s="3"/>
      <c r="Q281" s="1"/>
      <c r="R281" s="3"/>
      <c r="S281" s="3"/>
      <c r="T281" s="3"/>
      <c r="U281" s="1"/>
      <c r="V281" s="3"/>
      <c r="W281" s="3"/>
      <c r="X281" s="3"/>
      <c r="Y281" s="1"/>
      <c r="Z281" s="3"/>
      <c r="AA281" s="3"/>
      <c r="AB281" s="1"/>
      <c r="AD281" s="51"/>
      <c r="AO281" s="7"/>
    </row>
    <row r="282" spans="3:41" s="5" customFormat="1" ht="15" customHeight="1" x14ac:dyDescent="0.25">
      <c r="C282" s="266" t="s">
        <v>365</v>
      </c>
      <c r="D282" s="266"/>
      <c r="E282" s="266"/>
      <c r="F282" s="266"/>
      <c r="G282" s="28"/>
      <c r="H282" s="28"/>
      <c r="I282" s="28"/>
      <c r="J282" s="18"/>
      <c r="K282" s="18"/>
      <c r="L282" s="18"/>
      <c r="M282" s="18"/>
      <c r="N282" s="18"/>
      <c r="O282" s="18"/>
      <c r="P282" s="18"/>
      <c r="Q282" s="18"/>
      <c r="R282" s="18"/>
      <c r="S282" s="18"/>
      <c r="T282" s="18"/>
      <c r="U282" s="18"/>
      <c r="V282" s="18"/>
      <c r="W282" s="18"/>
      <c r="X282" s="18"/>
      <c r="Y282" s="18"/>
      <c r="Z282" s="18"/>
      <c r="AA282" s="18"/>
      <c r="AB282" s="18"/>
      <c r="AD282" s="51"/>
      <c r="AF282" s="27"/>
      <c r="AG282" s="28"/>
      <c r="AH282" s="27"/>
      <c r="AI282" s="309"/>
      <c r="AJ282" s="309"/>
      <c r="AK282" s="309"/>
      <c r="AL282" s="309"/>
      <c r="AO282" s="7"/>
    </row>
    <row r="283" spans="3:41" s="5" customFormat="1" ht="15" customHeight="1" x14ac:dyDescent="0.25">
      <c r="C283" s="28"/>
      <c r="D283" s="28"/>
      <c r="E283" s="28"/>
      <c r="F283" s="28"/>
      <c r="G283" s="28"/>
      <c r="H283" s="28"/>
      <c r="I283" s="70"/>
      <c r="J283" s="316" t="str">
        <f>IF(ISBLANK('(3) Variantenbewertung'!$I$11),"",'(3) Variantenbewertung'!$I$11)</f>
        <v>V1</v>
      </c>
      <c r="K283" s="316"/>
      <c r="L283" s="18"/>
      <c r="M283" s="18"/>
      <c r="N283" s="316" t="str">
        <f>IF(ISBLANK('(3) Variantenbewertung'!$L$11),"",'(3) Variantenbewertung'!$L$11)</f>
        <v>V2</v>
      </c>
      <c r="O283" s="316"/>
      <c r="P283" s="18"/>
      <c r="Q283" s="18"/>
      <c r="R283" s="316" t="str">
        <f>IF(ISBLANK('(3) Variantenbewertung'!$O$11),"",'(3) Variantenbewertung'!$O$11)</f>
        <v>V3</v>
      </c>
      <c r="S283" s="316"/>
      <c r="T283" s="55"/>
      <c r="U283" s="18"/>
      <c r="V283" s="316" t="str">
        <f>IF(ISBLANK('(3) Variantenbewertung'!$R$11),"",'(3) Variantenbewertung'!$R$11)</f>
        <v/>
      </c>
      <c r="W283" s="316"/>
      <c r="X283" s="18"/>
      <c r="Y283" s="18"/>
      <c r="Z283" s="316" t="str">
        <f>IF(ISBLANK('(3) Variantenbewertung'!$U$11),"",'(3) Variantenbewertung'!$U$11)</f>
        <v/>
      </c>
      <c r="AA283" s="316"/>
      <c r="AB283" s="18"/>
      <c r="AD283" s="51"/>
      <c r="AF283" s="27"/>
      <c r="AG283" s="28"/>
      <c r="AH283" s="27"/>
      <c r="AI283" s="28"/>
      <c r="AJ283" s="28"/>
      <c r="AK283" s="28"/>
      <c r="AL283" s="28"/>
      <c r="AO283" s="7"/>
    </row>
    <row r="284" spans="3:41" s="5" customFormat="1" ht="15" customHeight="1" x14ac:dyDescent="0.25">
      <c r="C284" s="28"/>
      <c r="D284" s="28"/>
      <c r="E284" s="28"/>
      <c r="F284" s="28"/>
      <c r="G284" s="28"/>
      <c r="H284" s="28"/>
      <c r="I284" s="28"/>
      <c r="J284" s="132" t="s">
        <v>221</v>
      </c>
      <c r="K284" s="133" t="s">
        <v>222</v>
      </c>
      <c r="L284" s="126"/>
      <c r="M284" s="17"/>
      <c r="N284" s="132" t="s">
        <v>221</v>
      </c>
      <c r="O284" s="133" t="s">
        <v>222</v>
      </c>
      <c r="P284" s="126"/>
      <c r="Q284" s="17"/>
      <c r="R284" s="132" t="s">
        <v>221</v>
      </c>
      <c r="S284" s="133" t="s">
        <v>222</v>
      </c>
      <c r="T284" s="126"/>
      <c r="U284" s="17"/>
      <c r="V284" s="132" t="s">
        <v>221</v>
      </c>
      <c r="W284" s="133" t="s">
        <v>222</v>
      </c>
      <c r="X284" s="126"/>
      <c r="Y284" s="17"/>
      <c r="Z284" s="132" t="s">
        <v>221</v>
      </c>
      <c r="AA284" s="133" t="s">
        <v>222</v>
      </c>
      <c r="AB284" s="17"/>
      <c r="AD284" s="51"/>
      <c r="AF284" s="27"/>
      <c r="AG284" s="28"/>
      <c r="AH284" s="27"/>
      <c r="AI284" s="294"/>
      <c r="AJ284" s="294"/>
      <c r="AK284" s="294"/>
      <c r="AL284" s="294"/>
      <c r="AO284" s="7"/>
    </row>
    <row r="285" spans="3:41" s="5" customFormat="1" ht="15" customHeight="1" x14ac:dyDescent="0.25">
      <c r="C285" s="28"/>
      <c r="D285" s="28"/>
      <c r="E285" s="27"/>
      <c r="F285" s="27"/>
      <c r="G285" s="28"/>
      <c r="H285" s="28"/>
      <c r="I285" s="28"/>
      <c r="J285" s="125" t="str">
        <f>IF('(3) Variantenbewertung'!I24="nein","","(x) einfügen:")</f>
        <v/>
      </c>
      <c r="K285" s="53" t="str">
        <f>IF(NOT(K289="keine Korrektur"),"Bitte begründen:","")</f>
        <v/>
      </c>
      <c r="L285" s="127"/>
      <c r="M285" s="17"/>
      <c r="N285" s="125" t="str">
        <f>IF('(3) Variantenbewertung'!L24="nein","","(x) einfügen:")</f>
        <v>(x) einfügen:</v>
      </c>
      <c r="O285" s="53" t="str">
        <f>IF(NOT(O289="keine Korrektur"),"Bitte begründen:","")</f>
        <v/>
      </c>
      <c r="P285" s="127"/>
      <c r="Q285" s="17"/>
      <c r="R285" s="125" t="str">
        <f>IF('(3) Variantenbewertung'!O24="nein","","(x) einfügen:")</f>
        <v>(x) einfügen:</v>
      </c>
      <c r="S285" s="53" t="str">
        <f>IF(NOT(S289="keine Korrektur"),"Bitte begründen:","")</f>
        <v/>
      </c>
      <c r="T285" s="127"/>
      <c r="U285" s="17"/>
      <c r="V285" s="125" t="str">
        <f>IF('(3) Variantenbewertung'!R24="nein","","(x) einfügen:")</f>
        <v>(x) einfügen:</v>
      </c>
      <c r="W285" s="53" t="str">
        <f>IF(NOT(W289="keine Korrektur"),"Bitte begründen:","")</f>
        <v/>
      </c>
      <c r="X285" s="127"/>
      <c r="Y285" s="17"/>
      <c r="Z285" s="125" t="str">
        <f>IF('(3) Variantenbewertung'!U24="nein","","(x) einfügen:")</f>
        <v>(x) einfügen:</v>
      </c>
      <c r="AA285" s="53" t="str">
        <f>IF(NOT(AA289="keine Korrektur"),"Bitte begründen:","")</f>
        <v/>
      </c>
      <c r="AB285" s="17"/>
      <c r="AD285" s="51"/>
      <c r="AF285" s="27"/>
      <c r="AG285" s="27"/>
      <c r="AH285" s="27"/>
      <c r="AI285" s="27"/>
      <c r="AJ285" s="27"/>
      <c r="AK285" s="27"/>
      <c r="AL285" s="27"/>
      <c r="AO285" s="7"/>
    </row>
    <row r="286" spans="3:41" s="5" customFormat="1" ht="52.2" customHeight="1" x14ac:dyDescent="0.25">
      <c r="C286" s="28"/>
      <c r="D286" s="30"/>
      <c r="E286" s="265" t="str">
        <f>AI286</f>
        <v>Im Übergangsbereich zwischen zwei Bautypen werden sämtliche geometrischen und hydraulischen Bemessungswerte eingehalten.</v>
      </c>
      <c r="F286" s="265"/>
      <c r="G286" s="28"/>
      <c r="H286" s="28"/>
      <c r="I286" s="28"/>
      <c r="J286" s="199" t="s">
        <v>178</v>
      </c>
      <c r="K286" s="318"/>
      <c r="L286" s="20"/>
      <c r="M286" s="18"/>
      <c r="N286" s="199"/>
      <c r="O286" s="318"/>
      <c r="P286" s="20"/>
      <c r="Q286" s="18"/>
      <c r="R286" s="199" t="s">
        <v>178</v>
      </c>
      <c r="S286" s="318"/>
      <c r="T286" s="20"/>
      <c r="U286" s="20"/>
      <c r="V286" s="199"/>
      <c r="W286" s="318"/>
      <c r="X286" s="20"/>
      <c r="Y286" s="18"/>
      <c r="Z286" s="199"/>
      <c r="AA286" s="318"/>
      <c r="AB286" s="18"/>
      <c r="AD286" s="51"/>
      <c r="AF286" s="66"/>
      <c r="AG286" s="305" t="s">
        <v>10</v>
      </c>
      <c r="AH286" s="306"/>
      <c r="AI286" s="298" t="s">
        <v>225</v>
      </c>
      <c r="AJ286" s="227"/>
      <c r="AK286" s="227"/>
      <c r="AL286" s="228"/>
      <c r="AO286" s="7"/>
    </row>
    <row r="287" spans="3:41" s="5" customFormat="1" ht="52.2" customHeight="1" x14ac:dyDescent="0.25">
      <c r="C287" s="36"/>
      <c r="D287" s="35"/>
      <c r="E287" s="265" t="str">
        <f>AI287</f>
        <v>Im Übergangsbereich zwischen zwei Bautypen werden sämtliche geometrischen und hydraulischen Grenzwerte eingehalten.</v>
      </c>
      <c r="F287" s="265"/>
      <c r="G287" s="28"/>
      <c r="H287" s="28"/>
      <c r="I287" s="28"/>
      <c r="J287" s="99"/>
      <c r="K287" s="319"/>
      <c r="L287" s="20"/>
      <c r="M287" s="18"/>
      <c r="N287" s="99" t="s">
        <v>178</v>
      </c>
      <c r="O287" s="319"/>
      <c r="P287" s="20"/>
      <c r="Q287" s="18"/>
      <c r="R287" s="99"/>
      <c r="S287" s="319"/>
      <c r="T287" s="20"/>
      <c r="U287" s="18"/>
      <c r="V287" s="99"/>
      <c r="W287" s="319"/>
      <c r="X287" s="20"/>
      <c r="Y287" s="18"/>
      <c r="Z287" s="99"/>
      <c r="AA287" s="319"/>
      <c r="AB287" s="18"/>
      <c r="AD287" s="51"/>
      <c r="AF287" s="31"/>
      <c r="AG287" s="305" t="s">
        <v>42</v>
      </c>
      <c r="AH287" s="306"/>
      <c r="AI287" s="298" t="s">
        <v>296</v>
      </c>
      <c r="AJ287" s="227"/>
      <c r="AK287" s="227"/>
      <c r="AL287" s="228"/>
      <c r="AO287" s="7"/>
    </row>
    <row r="288" spans="3:41" s="5" customFormat="1" ht="52.2" customHeight="1" x14ac:dyDescent="0.25">
      <c r="C288" s="28"/>
      <c r="D288" s="32"/>
      <c r="E288" s="265" t="str">
        <f>AI288</f>
        <v>Im Übergangsbereich zwischen zwei Bautypen werden ein oder mehrere geometrische und hydraulische Grenzwerte nicht eingehalten.</v>
      </c>
      <c r="F288" s="265"/>
      <c r="G288" s="28"/>
      <c r="H288" s="28"/>
      <c r="I288" s="28"/>
      <c r="J288" s="99"/>
      <c r="K288" s="320"/>
      <c r="L288" s="20"/>
      <c r="M288" s="18"/>
      <c r="N288" s="99"/>
      <c r="O288" s="320"/>
      <c r="P288" s="20"/>
      <c r="Q288" s="18"/>
      <c r="R288" s="99"/>
      <c r="S288" s="320"/>
      <c r="T288" s="20"/>
      <c r="U288" s="18"/>
      <c r="V288" s="99"/>
      <c r="W288" s="320"/>
      <c r="X288" s="20"/>
      <c r="Y288" s="18"/>
      <c r="Z288" s="99"/>
      <c r="AA288" s="320"/>
      <c r="AB288" s="18"/>
      <c r="AD288" s="51"/>
      <c r="AF288" s="32"/>
      <c r="AG288" s="305" t="s">
        <v>43</v>
      </c>
      <c r="AH288" s="306"/>
      <c r="AI288" s="298" t="s">
        <v>232</v>
      </c>
      <c r="AJ288" s="227"/>
      <c r="AK288" s="227"/>
      <c r="AL288" s="228"/>
      <c r="AO288" s="7"/>
    </row>
    <row r="289" spans="2:41" s="5" customFormat="1" ht="15" customHeight="1" x14ac:dyDescent="0.25">
      <c r="C289" s="28"/>
      <c r="D289" s="28"/>
      <c r="E289" s="28"/>
      <c r="F289" s="28"/>
      <c r="G289" s="28"/>
      <c r="H289" s="28"/>
      <c r="I289" s="28"/>
      <c r="J289" s="25" t="str">
        <f>IF('(3) Variantenbewertung'!I24="nein","",IF(COUNTIF(J$286:J$288,"x")&lt;&gt;1,"FEHLER",IF(J$286="x","gut",IF(J$287="x","mässig","schlecht"))))</f>
        <v/>
      </c>
      <c r="K289" s="99" t="s">
        <v>45</v>
      </c>
      <c r="L289" s="20"/>
      <c r="M289" s="18"/>
      <c r="N289" s="25" t="str">
        <f>IF('(3) Variantenbewertung'!L24="nein","",IF(COUNTIF(N$286:N$288,"x")&lt;&gt;1,"FEHLER",IF(N$286="x","gut",IF(N$287="x","mässig","schlecht"))))</f>
        <v>mässig</v>
      </c>
      <c r="O289" s="99" t="s">
        <v>45</v>
      </c>
      <c r="P289" s="20"/>
      <c r="Q289" s="18"/>
      <c r="R289" s="25" t="str">
        <f>IF('(3) Variantenbewertung'!O24="nein","",IF(COUNTIF(R$286:R$288,"x")&lt;&gt;1,"FEHLER",IF(R$286="x","gut",IF(R$287="x","mässig","schlecht"))))</f>
        <v>gut</v>
      </c>
      <c r="S289" s="99" t="s">
        <v>45</v>
      </c>
      <c r="T289" s="20"/>
      <c r="U289" s="18"/>
      <c r="V289" s="25" t="str">
        <f>IF('(3) Variantenbewertung'!R24="nein","",IF(COUNTIF(V$286:V$288,"x")&lt;&gt;1,"FEHLER",IF(V$286="x","gut",IF(V$287="x","mässig","schlecht"))))</f>
        <v>FEHLER</v>
      </c>
      <c r="W289" s="99" t="s">
        <v>45</v>
      </c>
      <c r="X289" s="20"/>
      <c r="Y289" s="18"/>
      <c r="Z289" s="25" t="str">
        <f>IF('(3) Variantenbewertung'!U24="nein","",IF(COUNTIF(Z$286:Z$288,"x")&lt;&gt;1,"FEHLER",IF(Z$286="x","gut",IF(Z$287="x","mässig","schlecht"))))</f>
        <v>FEHLER</v>
      </c>
      <c r="AA289" s="99" t="s">
        <v>45</v>
      </c>
      <c r="AB289" s="18"/>
      <c r="AD289" s="51"/>
      <c r="AF289" s="28"/>
      <c r="AG289" s="28"/>
      <c r="AH289" s="28"/>
      <c r="AI289" s="27"/>
      <c r="AJ289" s="27"/>
      <c r="AK289" s="28"/>
      <c r="AL289" s="28"/>
      <c r="AO289" s="7"/>
    </row>
    <row r="290" spans="2:41" s="5" customFormat="1" ht="15" customHeight="1" x14ac:dyDescent="0.25">
      <c r="C290" s="28"/>
      <c r="D290" s="28"/>
      <c r="E290" s="28"/>
      <c r="F290" s="28"/>
      <c r="G290" s="28"/>
      <c r="H290" s="28"/>
      <c r="I290" s="28"/>
      <c r="J290" s="18"/>
      <c r="K290" s="18"/>
      <c r="L290" s="18"/>
      <c r="M290" s="18"/>
      <c r="N290" s="18"/>
      <c r="O290" s="18"/>
      <c r="P290" s="18"/>
      <c r="Q290" s="18"/>
      <c r="R290" s="18"/>
      <c r="S290" s="18"/>
      <c r="T290" s="18"/>
      <c r="U290" s="18"/>
      <c r="V290" s="18"/>
      <c r="W290" s="18"/>
      <c r="X290" s="18"/>
      <c r="Y290" s="18"/>
      <c r="Z290" s="18"/>
      <c r="AA290" s="18"/>
      <c r="AB290" s="18"/>
      <c r="AD290" s="51"/>
      <c r="AF290" s="28"/>
      <c r="AG290" s="28"/>
      <c r="AH290" s="28"/>
      <c r="AI290" s="27"/>
      <c r="AJ290" s="27"/>
      <c r="AK290" s="28"/>
      <c r="AL290" s="28"/>
      <c r="AO290" s="7"/>
    </row>
    <row r="291" spans="2:41" s="5" customFormat="1" ht="15" customHeight="1" x14ac:dyDescent="0.25">
      <c r="J291" s="1"/>
      <c r="K291" s="1"/>
      <c r="L291" s="1"/>
      <c r="M291" s="1"/>
      <c r="N291" s="1"/>
      <c r="O291" s="1"/>
      <c r="P291" s="1"/>
      <c r="Q291" s="1"/>
      <c r="R291" s="1"/>
      <c r="S291" s="1"/>
      <c r="T291" s="1"/>
      <c r="U291" s="1"/>
      <c r="V291" s="1"/>
      <c r="W291" s="1"/>
      <c r="X291" s="1"/>
      <c r="Y291" s="1"/>
      <c r="Z291" s="1"/>
      <c r="AA291" s="1"/>
      <c r="AB291" s="1"/>
      <c r="AD291" s="51"/>
      <c r="AO291" s="7"/>
    </row>
    <row r="292" spans="2:41" s="5" customFormat="1" ht="15" customHeight="1" x14ac:dyDescent="0.25">
      <c r="J292" s="1"/>
      <c r="K292" s="1"/>
      <c r="L292" s="1"/>
      <c r="M292" s="1"/>
      <c r="N292" s="1"/>
      <c r="O292" s="1"/>
      <c r="P292" s="1"/>
      <c r="Q292" s="1"/>
      <c r="R292" s="1"/>
      <c r="S292" s="1"/>
      <c r="T292" s="1"/>
      <c r="U292" s="1"/>
      <c r="V292" s="1"/>
      <c r="W292" s="1"/>
      <c r="X292" s="1"/>
      <c r="Y292" s="1"/>
      <c r="Z292" s="1"/>
      <c r="AA292" s="1"/>
      <c r="AB292" s="1"/>
      <c r="AD292" s="51"/>
      <c r="AO292" s="7"/>
    </row>
    <row r="293" spans="2:41" s="5" customFormat="1" ht="15" customHeight="1" x14ac:dyDescent="0.25">
      <c r="J293" s="1"/>
      <c r="K293" s="1"/>
      <c r="L293" s="1"/>
      <c r="M293" s="1"/>
      <c r="N293" s="1"/>
      <c r="O293" s="1"/>
      <c r="P293" s="1"/>
      <c r="Q293" s="1"/>
      <c r="R293" s="1"/>
      <c r="S293" s="1"/>
      <c r="T293" s="1"/>
      <c r="U293" s="1"/>
      <c r="V293" s="1"/>
      <c r="W293" s="1"/>
      <c r="X293" s="1"/>
      <c r="Y293" s="1"/>
      <c r="Z293" s="1"/>
      <c r="AA293" s="1"/>
      <c r="AB293" s="1"/>
      <c r="AD293" s="51"/>
      <c r="AO293" s="7"/>
    </row>
    <row r="294" spans="2:41" s="5" customFormat="1" ht="15" customHeight="1" x14ac:dyDescent="0.25">
      <c r="C294" s="2"/>
      <c r="D294" s="2"/>
      <c r="E294" s="2"/>
      <c r="F294" s="38"/>
      <c r="G294" s="29"/>
      <c r="H294" s="29"/>
      <c r="I294" s="29"/>
      <c r="J294" s="34"/>
      <c r="K294" s="34"/>
      <c r="L294" s="34"/>
      <c r="M294" s="34"/>
      <c r="N294" s="34"/>
      <c r="O294" s="34"/>
      <c r="P294" s="34"/>
      <c r="Q294" s="34"/>
      <c r="R294" s="34"/>
      <c r="S294" s="34"/>
      <c r="T294" s="34"/>
      <c r="U294" s="34"/>
      <c r="V294" s="34"/>
      <c r="W294" s="34"/>
      <c r="X294" s="34"/>
      <c r="Y294" s="34"/>
      <c r="Z294" s="34"/>
      <c r="AA294" s="34"/>
      <c r="AB294" s="34"/>
      <c r="AD294" s="51"/>
      <c r="AO294" s="7"/>
    </row>
    <row r="295" spans="2:41" s="5" customFormat="1" ht="15" customHeight="1" x14ac:dyDescent="0.25">
      <c r="F295" s="29"/>
      <c r="G295" s="29"/>
      <c r="H295" s="29"/>
      <c r="I295" s="130"/>
      <c r="J295" s="316" t="str">
        <f>IF(ISBLANK('(3) Variantenbewertung'!$I$11),"",'(3) Variantenbewertung'!$I$11)</f>
        <v>V1</v>
      </c>
      <c r="K295" s="316"/>
      <c r="L295" s="34"/>
      <c r="M295" s="34"/>
      <c r="N295" s="316" t="str">
        <f>IF(ISBLANK('(3) Variantenbewertung'!$L$11),"",'(3) Variantenbewertung'!$L$11)</f>
        <v>V2</v>
      </c>
      <c r="O295" s="316"/>
      <c r="P295" s="34"/>
      <c r="Q295" s="34"/>
      <c r="R295" s="316" t="str">
        <f>IF(ISBLANK('(3) Variantenbewertung'!$O$11),"",'(3) Variantenbewertung'!$O$11)</f>
        <v>V3</v>
      </c>
      <c r="S295" s="316"/>
      <c r="T295" s="81"/>
      <c r="U295" s="34"/>
      <c r="V295" s="316" t="str">
        <f>IF(ISBLANK('(3) Variantenbewertung'!$R$11),"",'(3) Variantenbewertung'!$R$11)</f>
        <v/>
      </c>
      <c r="W295" s="316"/>
      <c r="X295" s="34"/>
      <c r="Y295" s="34"/>
      <c r="Z295" s="316" t="str">
        <f>IF(ISBLANK('(3) Variantenbewertung'!$U$11),"",'(3) Variantenbewertung'!$U$11)</f>
        <v/>
      </c>
      <c r="AA295" s="316"/>
      <c r="AB295" s="34"/>
      <c r="AD295" s="51"/>
      <c r="AO295" s="7"/>
    </row>
    <row r="296" spans="2:41" s="5" customFormat="1" ht="15" customHeight="1" x14ac:dyDescent="0.25">
      <c r="F296" s="29"/>
      <c r="G296" s="29"/>
      <c r="H296" s="29"/>
      <c r="I296" s="29"/>
      <c r="J296" s="132" t="s">
        <v>221</v>
      </c>
      <c r="K296" s="133" t="s">
        <v>222</v>
      </c>
      <c r="L296" s="82"/>
      <c r="M296" s="24"/>
      <c r="N296" s="132" t="s">
        <v>221</v>
      </c>
      <c r="O296" s="133" t="s">
        <v>222</v>
      </c>
      <c r="P296" s="82"/>
      <c r="Q296" s="24"/>
      <c r="R296" s="132" t="s">
        <v>221</v>
      </c>
      <c r="S296" s="133" t="s">
        <v>222</v>
      </c>
      <c r="T296" s="82"/>
      <c r="U296" s="24"/>
      <c r="V296" s="132" t="s">
        <v>221</v>
      </c>
      <c r="W296" s="133" t="s">
        <v>222</v>
      </c>
      <c r="X296" s="82"/>
      <c r="Y296" s="24"/>
      <c r="Z296" s="132" t="s">
        <v>221</v>
      </c>
      <c r="AA296" s="133" t="s">
        <v>222</v>
      </c>
      <c r="AB296" s="24"/>
      <c r="AD296" s="284" t="s">
        <v>44</v>
      </c>
      <c r="AO296" s="7"/>
    </row>
    <row r="297" spans="2:41" s="5" customFormat="1" ht="15" customHeight="1" x14ac:dyDescent="0.25">
      <c r="F297" s="328" t="s">
        <v>366</v>
      </c>
      <c r="G297" s="328"/>
      <c r="H297" s="21"/>
      <c r="I297" s="29"/>
      <c r="J297" s="40" t="str">
        <f>IF(NOT(OR(COUNTIF(J194:J289,"FEHLER")&gt;=1,COUNTIF(J194:J289,"WERT?")&gt;=1)),IF(COUNTIF(J194:J289,"schlecht")&gt;=1,"schlecht",IF(COUNTIF(J194:J289,"mässig")&gt;=1,"mässig","gut")),"FEHLER")</f>
        <v>gut</v>
      </c>
      <c r="K297" s="40" t="str">
        <f>IF(J297="FEHLER","FEHLER",IF(IF(I194="DEAKTIVIERT",COUNTIF(K211:K289,"schlecht*")&gt;=1,COUNTIF(K193:K207,"schlecht*")+COUNTIF(K229:K289,"schlecht*")&gt;=1),"schlecht",IF(IF(I194="DEAKTIVIERT",COUNTIF(K211:K289,"mässig*")&gt;=1,COUNTIF(K193:K207,"mässig*")+COUNTIF(K229:K289,"mässig*")&gt;=1),"mässig",IF(IF(I194="DEAKTIVIERT",COUNTIF(K211:K289,"gut*")&gt;=1,COUNTIF(K193:K207,"gut*")+COUNTIF(K229:K289,"gut*")&gt;=1),"gut",J297))))</f>
        <v>gut</v>
      </c>
      <c r="L297" s="34"/>
      <c r="M297" s="34"/>
      <c r="N297" s="40" t="str">
        <f>IF(NOT(OR(COUNTIF(N194:N289,"FEHLER")&gt;=1,COUNTIF(N194:N289,"WERT?")&gt;=1)),IF(COUNTIF(N194:N289,"schlecht")&gt;=1,"schlecht",IF(COUNTIF(N194:N289,"mässig")&gt;=1,"mässig","gut")),"FEHLER")</f>
        <v>mässig</v>
      </c>
      <c r="O297" s="40" t="str">
        <f>IF(N297="FEHLER","FEHLER",IF(IF(M194="DEAKTIVIERT",COUNTIF(O211:O289,"schlecht*")&gt;=1,COUNTIF(O193:O207,"schlecht*")+COUNTIF(O229:O289,"schlecht*")&gt;=1),"schlecht",IF(IF(M194="DEAKTIVIERT",COUNTIF(O211:O289,"mässig*")&gt;=1,COUNTIF(O193:O207,"mässig*")+COUNTIF(O229:O289,"mässig*")&gt;=1),"mässig",IF(IF(M194="DEAKTIVIERT",COUNTIF(O211:O289,"gut*")&gt;=1,COUNTIF(O193:O207,"gut*")+COUNTIF(O229:O289,"gut*")&gt;=1),"gut",N297))))</f>
        <v>mässig</v>
      </c>
      <c r="P297" s="34"/>
      <c r="Q297" s="34"/>
      <c r="R297" s="40" t="str">
        <f>IF(NOT(OR(COUNTIF(R194:R289,"FEHLER")&gt;=1,COUNTIF(R194:R289,"WERT?")&gt;=1)),IF(COUNTIF(R194:R289,"schlecht")&gt;=1,"schlecht",IF(COUNTIF(R194:R289,"mässig")&gt;=1,"mässig","gut")),"FEHLER")</f>
        <v>mässig</v>
      </c>
      <c r="S297" s="40" t="str">
        <f>IF(R297="FEHLER","FEHLER",IF(IF(Q194="DEAKTIVIERT",COUNTIF(S211:S289,"schlecht*")&gt;=1,COUNTIF(S193:S207,"schlecht*")+COUNTIF(S229:S289,"schlecht*")&gt;=1),"schlecht",IF(IF(Q194="DEAKTIVIERT",COUNTIF(S211:S289,"mässig*")&gt;=1,COUNTIF(S193:S207,"mässig*")+COUNTIF(S229:S289,"mässig*")&gt;=1),"mässig",IF(IF(Q194="DEAKTIVIERT",COUNTIF(S211:S289,"gut*")&gt;=1,COUNTIF(S193:S207,"gut*")+COUNTIF(S229:S289,"gut*")&gt;=1),"gut",R297))))</f>
        <v>mässig</v>
      </c>
      <c r="T297" s="34"/>
      <c r="U297" s="34"/>
      <c r="V297" s="40" t="str">
        <f>IF(NOT(OR(COUNTIF(V194:V289,"FEHLER")&gt;=1,COUNTIF(V194:V289,"WERT?")&gt;=1)),IF(COUNTIF(V194:V289,"schlecht")&gt;=1,"schlecht",IF(COUNTIF(V194:V289,"mässig")&gt;=1,"mässig","gut")),"FEHLER")</f>
        <v>FEHLER</v>
      </c>
      <c r="W297" s="40" t="str">
        <f>IF(V297="FEHLER","FEHLER",IF(IF(U194="DEAKTIVIERT",COUNTIF(W211:W289,"schlecht*")&gt;=1,COUNTIF(W193:W207,"schlecht*")+COUNTIF(W229:W289,"schlecht*")&gt;=1),"schlecht",IF(IF(U194="DEAKTIVIERT",COUNTIF(W211:W289,"mässig*")&gt;=1,COUNTIF(W193:W207,"mässig*")+COUNTIF(W229:W289,"mässig*")&gt;=1),"mässig",IF(IF(U194="DEAKTIVIERT",COUNTIF(W211:W289,"gut*")&gt;=1,COUNTIF(W193:W207,"gut*")+COUNTIF(W229:W289,"gut*")&gt;=1),"gut",V297))))</f>
        <v>FEHLER</v>
      </c>
      <c r="X297" s="34"/>
      <c r="Y297" s="34"/>
      <c r="Z297" s="40" t="str">
        <f>IF(NOT(OR(COUNTIF(Z194:Z289,"FEHLER")&gt;=1,COUNTIF(Z194:Z289,"WERT?")&gt;=1)),IF(COUNTIF(Z194:Z289,"schlecht")&gt;=1,"schlecht",IF(COUNTIF(Z194:Z289,"mässig")&gt;=1,"mässig","gut")),"FEHLER")</f>
        <v>FEHLER</v>
      </c>
      <c r="AA297" s="40" t="str">
        <f>IF(Z297="FEHLER","FEHLER",IF(IF(Y194="DEAKTIVIERT",COUNTIF(AA211:AA289,"schlecht*")&gt;=1,COUNTIF(AA193:AA207,"schlecht*")+COUNTIF(AA229:AA289,"schlecht*")&gt;=1),"schlecht",IF(IF(Y194="DEAKTIVIERT",COUNTIF(AA211:AA289,"mässig*")&gt;=1,COUNTIF(AA193:AA207,"mässig*")+COUNTIF(AA229:AA289,"mässig*")&gt;=1),"mässig",IF(IF(Y194="DEAKTIVIERT",COUNTIF(AA211:AA289,"gut*")&gt;=1,COUNTIF(AA193:AA207,"gut*")+COUNTIF(AA229:AA289,"gut*")&gt;=1),"gut",Z297))))</f>
        <v>FEHLER</v>
      </c>
      <c r="AB297" s="34"/>
      <c r="AD297" s="284"/>
      <c r="AO297" s="7"/>
    </row>
    <row r="298" spans="2:41" s="5" customFormat="1" ht="15" customHeight="1" x14ac:dyDescent="0.25">
      <c r="F298" s="327" t="s">
        <v>40</v>
      </c>
      <c r="G298" s="327"/>
      <c r="H298" s="183"/>
      <c r="I298" s="29"/>
      <c r="J298" s="40">
        <f>IF(J297="FEHLER","-",IF(J297="gut",3,IF(J297="mässig",2,1)))</f>
        <v>3</v>
      </c>
      <c r="K298" s="40">
        <f>IF(K297="FEHLER","-",IF(K297="gut",3,IF(K297="mässig",2,1)))</f>
        <v>3</v>
      </c>
      <c r="L298" s="34"/>
      <c r="M298" s="34"/>
      <c r="N298" s="40">
        <f>IF(N297="FEHLER","-",IF(N297="gut",3,IF(N297="mässig",2,1)))</f>
        <v>2</v>
      </c>
      <c r="O298" s="40">
        <f>IF(O297="FEHLER","-",IF(O297="gut",3,IF(O297="mässig",2,1)))</f>
        <v>2</v>
      </c>
      <c r="P298" s="34"/>
      <c r="Q298" s="34"/>
      <c r="R298" s="40">
        <f>IF(R297="FEHLER","-",IF(R297="gut",3,IF(R297="mässig",2,1)))</f>
        <v>2</v>
      </c>
      <c r="S298" s="40">
        <f>IF(S297="FEHLER","-",IF(S297="gut",3,IF(S297="mässig",2,1)))</f>
        <v>2</v>
      </c>
      <c r="T298" s="34"/>
      <c r="U298" s="34"/>
      <c r="V298" s="40" t="str">
        <f>IF(V297="FEHLER","-",IF(V297="gut",3,IF(V297="mässig",2,1)))</f>
        <v>-</v>
      </c>
      <c r="W298" s="40" t="str">
        <f>IF(W297="FEHLER","-",IF(W297="gut",3,IF(W297="mässig",2,1)))</f>
        <v>-</v>
      </c>
      <c r="X298" s="34"/>
      <c r="Y298" s="34"/>
      <c r="Z298" s="40" t="str">
        <f>IF(Z297="FEHLER","-",IF(Z297="gut",3,IF(Z297="mässig",2,1)))</f>
        <v>-</v>
      </c>
      <c r="AA298" s="40" t="str">
        <f>IF(AA297="FEHLER","-",IF(AA297="gut",3,IF(AA297="mässig",2,1)))</f>
        <v>-</v>
      </c>
      <c r="AB298" s="34"/>
      <c r="AD298" s="283" t="s">
        <v>224</v>
      </c>
      <c r="AO298" s="7"/>
    </row>
    <row r="299" spans="2:41" s="5" customFormat="1" ht="15" customHeight="1" x14ac:dyDescent="0.25">
      <c r="F299" s="29"/>
      <c r="G299" s="29"/>
      <c r="H299" s="29"/>
      <c r="I299" s="29"/>
      <c r="J299" s="34"/>
      <c r="K299" s="34"/>
      <c r="L299" s="34"/>
      <c r="M299" s="34"/>
      <c r="N299" s="34"/>
      <c r="O299" s="34"/>
      <c r="P299" s="34"/>
      <c r="Q299" s="34"/>
      <c r="R299" s="34"/>
      <c r="S299" s="34"/>
      <c r="T299" s="34"/>
      <c r="U299" s="34"/>
      <c r="V299" s="34"/>
      <c r="W299" s="34"/>
      <c r="X299" s="34"/>
      <c r="Y299" s="34"/>
      <c r="Z299" s="34"/>
      <c r="AA299" s="34"/>
      <c r="AB299" s="34"/>
      <c r="AD299" s="283"/>
      <c r="AH299" s="310"/>
      <c r="AI299" s="310"/>
      <c r="AJ299" s="310"/>
      <c r="AK299" s="310"/>
      <c r="AL299" s="310"/>
      <c r="AO299" s="7"/>
    </row>
    <row r="300" spans="2:41" s="5" customFormat="1" ht="15" customHeight="1" x14ac:dyDescent="0.25">
      <c r="J300" s="1"/>
      <c r="K300" s="1"/>
      <c r="L300" s="1"/>
      <c r="M300" s="1"/>
      <c r="N300" s="1"/>
      <c r="O300" s="1"/>
      <c r="P300" s="1"/>
      <c r="Q300" s="1"/>
      <c r="R300" s="1"/>
      <c r="S300" s="1"/>
      <c r="T300" s="1"/>
      <c r="U300" s="1"/>
      <c r="V300" s="1"/>
      <c r="W300" s="1"/>
      <c r="X300" s="1"/>
      <c r="Y300" s="1"/>
      <c r="Z300" s="1"/>
      <c r="AA300" s="1"/>
      <c r="AB300" s="1"/>
      <c r="AD300" s="283"/>
      <c r="AH300" s="10"/>
      <c r="AI300" s="10"/>
      <c r="AJ300" s="10"/>
      <c r="AK300" s="10"/>
      <c r="AL300" s="10"/>
      <c r="AO300" s="7"/>
    </row>
    <row r="301" spans="2:41" s="5" customFormat="1" ht="15" customHeight="1" x14ac:dyDescent="0.25">
      <c r="J301" s="1"/>
      <c r="K301" s="1"/>
      <c r="L301" s="1"/>
      <c r="M301" s="1"/>
      <c r="N301" s="1"/>
      <c r="O301" s="1"/>
      <c r="P301" s="1"/>
      <c r="Q301" s="1"/>
      <c r="R301" s="1"/>
      <c r="S301" s="1"/>
      <c r="T301" s="1"/>
      <c r="U301" s="1"/>
      <c r="V301" s="1"/>
      <c r="W301" s="1"/>
      <c r="X301" s="1"/>
      <c r="Y301" s="1"/>
      <c r="Z301" s="1"/>
      <c r="AA301" s="1"/>
      <c r="AB301" s="1"/>
      <c r="AD301" s="283"/>
      <c r="AF301" s="10"/>
      <c r="AH301" s="10"/>
      <c r="AI301" s="10"/>
      <c r="AJ301" s="10"/>
      <c r="AK301" s="10"/>
      <c r="AL301" s="10"/>
      <c r="AO301" s="7"/>
    </row>
    <row r="302" spans="2:41" s="5" customFormat="1" ht="15" customHeight="1" x14ac:dyDescent="0.25">
      <c r="J302" s="1"/>
      <c r="K302" s="1"/>
      <c r="L302" s="1"/>
      <c r="M302" s="1"/>
      <c r="N302" s="1"/>
      <c r="O302" s="1"/>
      <c r="P302" s="1"/>
      <c r="Q302" s="1"/>
      <c r="R302" s="1"/>
      <c r="S302" s="1"/>
      <c r="T302" s="1"/>
      <c r="U302" s="1"/>
      <c r="V302" s="1"/>
      <c r="W302" s="1"/>
      <c r="X302" s="1"/>
      <c r="Y302" s="1"/>
      <c r="Z302" s="1"/>
      <c r="AA302" s="1"/>
      <c r="AB302" s="1"/>
      <c r="AD302" s="283"/>
      <c r="AF302" s="10"/>
      <c r="AH302" s="10"/>
      <c r="AI302" s="10"/>
      <c r="AJ302" s="10"/>
      <c r="AK302" s="10"/>
      <c r="AL302" s="10"/>
      <c r="AO302" s="7"/>
    </row>
    <row r="303" spans="2:41" s="5" customFormat="1" ht="15" customHeight="1" x14ac:dyDescent="0.25">
      <c r="B303" s="323" t="s">
        <v>367</v>
      </c>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D303" s="283"/>
      <c r="AF303" s="10"/>
      <c r="AH303" s="10"/>
      <c r="AI303" s="10"/>
      <c r="AJ303" s="10"/>
      <c r="AK303" s="10"/>
      <c r="AL303" s="10"/>
      <c r="AO303" s="7"/>
    </row>
    <row r="304" spans="2:41" s="5" customFormat="1" ht="15" customHeight="1" x14ac:dyDescent="0.25">
      <c r="J304" s="1"/>
      <c r="K304" s="1"/>
      <c r="L304" s="1"/>
      <c r="M304" s="1"/>
      <c r="N304" s="1"/>
      <c r="O304" s="1"/>
      <c r="P304" s="1"/>
      <c r="Q304" s="1"/>
      <c r="R304" s="1"/>
      <c r="S304" s="1"/>
      <c r="T304" s="1"/>
      <c r="U304" s="1"/>
      <c r="V304" s="1"/>
      <c r="W304" s="1"/>
      <c r="X304" s="1"/>
      <c r="Y304" s="1"/>
      <c r="Z304" s="1"/>
      <c r="AA304" s="1"/>
      <c r="AB304" s="1"/>
      <c r="AD304" s="283"/>
      <c r="AF304" s="10"/>
      <c r="AH304" s="10"/>
      <c r="AI304" s="10"/>
      <c r="AJ304" s="10"/>
      <c r="AK304" s="10"/>
      <c r="AL304" s="10"/>
      <c r="AO304" s="7"/>
    </row>
    <row r="305" spans="3:41" s="5" customFormat="1" ht="15" customHeight="1" x14ac:dyDescent="0.25">
      <c r="J305" s="1"/>
      <c r="K305" s="1"/>
      <c r="L305" s="1"/>
      <c r="M305" s="1"/>
      <c r="N305" s="1"/>
      <c r="O305" s="1"/>
      <c r="P305" s="1"/>
      <c r="Q305" s="1"/>
      <c r="R305" s="1"/>
      <c r="S305" s="1"/>
      <c r="T305" s="1"/>
      <c r="U305" s="1"/>
      <c r="V305" s="1"/>
      <c r="W305" s="1"/>
      <c r="X305" s="1"/>
      <c r="Y305" s="1"/>
      <c r="Z305" s="1"/>
      <c r="AA305" s="1"/>
      <c r="AB305" s="1"/>
      <c r="AD305" s="283"/>
      <c r="AH305" s="310"/>
      <c r="AI305" s="310"/>
      <c r="AJ305" s="310"/>
      <c r="AK305" s="310"/>
      <c r="AL305" s="310"/>
      <c r="AO305" s="7"/>
    </row>
    <row r="306" spans="3:41" s="5" customFormat="1" ht="15" customHeight="1" x14ac:dyDescent="0.25">
      <c r="C306" s="266" t="s">
        <v>368</v>
      </c>
      <c r="D306" s="266"/>
      <c r="E306" s="266"/>
      <c r="F306" s="266"/>
      <c r="G306" s="28"/>
      <c r="H306" s="28"/>
      <c r="I306" s="28"/>
      <c r="J306" s="18"/>
      <c r="K306" s="18"/>
      <c r="L306" s="18"/>
      <c r="M306" s="18"/>
      <c r="N306" s="18"/>
      <c r="O306" s="18"/>
      <c r="P306" s="18"/>
      <c r="Q306" s="18"/>
      <c r="R306" s="18"/>
      <c r="S306" s="18"/>
      <c r="T306" s="18"/>
      <c r="U306" s="18"/>
      <c r="V306" s="18"/>
      <c r="W306" s="18"/>
      <c r="X306" s="18"/>
      <c r="Y306" s="18"/>
      <c r="Z306" s="18"/>
      <c r="AA306" s="18"/>
      <c r="AB306" s="18"/>
      <c r="AD306" s="283"/>
      <c r="AF306" s="27"/>
      <c r="AG306" s="28"/>
      <c r="AH306" s="27"/>
      <c r="AI306" s="309"/>
      <c r="AJ306" s="309"/>
      <c r="AK306" s="309"/>
      <c r="AL306" s="309"/>
      <c r="AO306" s="7"/>
    </row>
    <row r="307" spans="3:41" s="5" customFormat="1" ht="15" customHeight="1" x14ac:dyDescent="0.25">
      <c r="C307" s="28"/>
      <c r="D307" s="28"/>
      <c r="E307" s="28"/>
      <c r="F307" s="28"/>
      <c r="G307" s="28"/>
      <c r="H307" s="28"/>
      <c r="I307" s="70"/>
      <c r="J307" s="316" t="str">
        <f>IF(ISBLANK('(3) Variantenbewertung'!$I$11),"",'(3) Variantenbewertung'!$I$11)</f>
        <v>V1</v>
      </c>
      <c r="K307" s="316"/>
      <c r="L307" s="18"/>
      <c r="M307" s="18"/>
      <c r="N307" s="316" t="str">
        <f>IF(ISBLANK('(3) Variantenbewertung'!$L$11),"",'(3) Variantenbewertung'!$L$11)</f>
        <v>V2</v>
      </c>
      <c r="O307" s="316"/>
      <c r="P307" s="18"/>
      <c r="Q307" s="18"/>
      <c r="R307" s="316" t="str">
        <f>IF(ISBLANK('(3) Variantenbewertung'!$O$11),"",'(3) Variantenbewertung'!$O$11)</f>
        <v>V3</v>
      </c>
      <c r="S307" s="316"/>
      <c r="T307" s="55"/>
      <c r="U307" s="18"/>
      <c r="V307" s="316" t="str">
        <f>IF(ISBLANK('(3) Variantenbewertung'!$R$11),"",'(3) Variantenbewertung'!$R$11)</f>
        <v/>
      </c>
      <c r="W307" s="316"/>
      <c r="X307" s="18"/>
      <c r="Y307" s="18"/>
      <c r="Z307" s="316" t="str">
        <f>IF(ISBLANK('(3) Variantenbewertung'!$U$11),"",'(3) Variantenbewertung'!$U$11)</f>
        <v/>
      </c>
      <c r="AA307" s="316"/>
      <c r="AB307" s="18"/>
      <c r="AD307" s="283"/>
      <c r="AF307" s="27"/>
      <c r="AG307" s="28"/>
      <c r="AH307" s="27"/>
      <c r="AI307" s="28"/>
      <c r="AJ307" s="28"/>
      <c r="AK307" s="28"/>
      <c r="AL307" s="28"/>
      <c r="AO307" s="7"/>
    </row>
    <row r="308" spans="3:41" s="5" customFormat="1" ht="15" customHeight="1" x14ac:dyDescent="0.25">
      <c r="C308" s="28"/>
      <c r="D308" s="28"/>
      <c r="E308" s="28"/>
      <c r="F308" s="28"/>
      <c r="G308" s="28"/>
      <c r="H308" s="28"/>
      <c r="I308" s="28"/>
      <c r="J308" s="132" t="s">
        <v>221</v>
      </c>
      <c r="K308" s="133" t="s">
        <v>222</v>
      </c>
      <c r="L308" s="126"/>
      <c r="M308" s="17"/>
      <c r="N308" s="132" t="s">
        <v>221</v>
      </c>
      <c r="O308" s="133" t="s">
        <v>222</v>
      </c>
      <c r="P308" s="126"/>
      <c r="Q308" s="17"/>
      <c r="R308" s="132" t="s">
        <v>221</v>
      </c>
      <c r="S308" s="133" t="s">
        <v>222</v>
      </c>
      <c r="T308" s="126"/>
      <c r="U308" s="17"/>
      <c r="V308" s="132" t="s">
        <v>221</v>
      </c>
      <c r="W308" s="133" t="s">
        <v>222</v>
      </c>
      <c r="X308" s="126"/>
      <c r="Y308" s="17"/>
      <c r="Z308" s="132" t="s">
        <v>221</v>
      </c>
      <c r="AA308" s="133" t="s">
        <v>222</v>
      </c>
      <c r="AB308" s="17"/>
      <c r="AD308" s="304" t="s">
        <v>44</v>
      </c>
      <c r="AF308" s="27"/>
      <c r="AG308" s="28"/>
      <c r="AH308" s="27"/>
      <c r="AI308" s="294"/>
      <c r="AJ308" s="294"/>
      <c r="AK308" s="294"/>
      <c r="AL308" s="294"/>
      <c r="AO308" s="7"/>
    </row>
    <row r="309" spans="3:41" s="5" customFormat="1" ht="15" customHeight="1" x14ac:dyDescent="0.25">
      <c r="C309" s="28"/>
      <c r="D309" s="28"/>
      <c r="E309" s="27"/>
      <c r="F309" s="27"/>
      <c r="G309" s="28"/>
      <c r="H309" s="28"/>
      <c r="I309" s="28"/>
      <c r="J309" s="125" t="s">
        <v>66</v>
      </c>
      <c r="K309" s="53" t="str">
        <f>IF(NOT(K313="keine Korrektur"),"Bitte begründen:","")</f>
        <v/>
      </c>
      <c r="L309" s="127"/>
      <c r="M309" s="17"/>
      <c r="N309" s="125" t="s">
        <v>66</v>
      </c>
      <c r="O309" s="53" t="str">
        <f>IF(NOT(O313="keine Korrektur"),"Bitte begründen:","")</f>
        <v/>
      </c>
      <c r="P309" s="127"/>
      <c r="Q309" s="17"/>
      <c r="R309" s="125" t="s">
        <v>66</v>
      </c>
      <c r="S309" s="53" t="str">
        <f>IF(NOT(S313="keine Korrektur"),"Bitte begründen:","")</f>
        <v/>
      </c>
      <c r="T309" s="127"/>
      <c r="U309" s="17"/>
      <c r="V309" s="125" t="s">
        <v>66</v>
      </c>
      <c r="W309" s="53" t="str">
        <f>IF(NOT(W313="keine Korrektur"),"Bitte begründen:","")</f>
        <v/>
      </c>
      <c r="X309" s="127"/>
      <c r="Y309" s="17"/>
      <c r="Z309" s="125" t="s">
        <v>66</v>
      </c>
      <c r="AA309" s="53" t="str">
        <f>IF(NOT(AA313="keine Korrektur"),"Bitte begründen:","")</f>
        <v/>
      </c>
      <c r="AB309" s="17"/>
      <c r="AD309" s="304"/>
      <c r="AF309" s="27"/>
      <c r="AG309" s="27"/>
      <c r="AH309" s="27"/>
      <c r="AI309" s="27"/>
      <c r="AJ309" s="27"/>
      <c r="AK309" s="27"/>
      <c r="AL309" s="27"/>
      <c r="AO309" s="7"/>
    </row>
    <row r="310" spans="3:41" s="5" customFormat="1" ht="34.200000000000003" customHeight="1" x14ac:dyDescent="0.25">
      <c r="C310" s="28"/>
      <c r="D310" s="63"/>
      <c r="E310" s="325" t="str">
        <f>AI310</f>
        <v>In der FAH herrschen natürliche Lichtverhältnisse.</v>
      </c>
      <c r="F310" s="326"/>
      <c r="G310" s="28"/>
      <c r="H310" s="28"/>
      <c r="I310" s="28"/>
      <c r="J310" s="199" t="s">
        <v>178</v>
      </c>
      <c r="K310" s="318"/>
      <c r="L310" s="20"/>
      <c r="M310" s="18"/>
      <c r="N310" s="199"/>
      <c r="O310" s="318"/>
      <c r="P310" s="20"/>
      <c r="Q310" s="18"/>
      <c r="R310" s="199" t="s">
        <v>178</v>
      </c>
      <c r="S310" s="318"/>
      <c r="T310" s="20"/>
      <c r="U310" s="20"/>
      <c r="V310" s="199"/>
      <c r="W310" s="318"/>
      <c r="X310" s="20"/>
      <c r="Y310" s="18"/>
      <c r="Z310" s="199"/>
      <c r="AA310" s="318"/>
      <c r="AB310" s="18"/>
      <c r="AD310" s="304"/>
      <c r="AF310" s="66"/>
      <c r="AG310" s="305" t="s">
        <v>10</v>
      </c>
      <c r="AH310" s="306"/>
      <c r="AI310" s="298" t="s">
        <v>21</v>
      </c>
      <c r="AJ310" s="227"/>
      <c r="AK310" s="227"/>
      <c r="AL310" s="228"/>
      <c r="AO310" s="7"/>
    </row>
    <row r="311" spans="3:41" s="5" customFormat="1" ht="34.200000000000003" customHeight="1" x14ac:dyDescent="0.25">
      <c r="C311" s="36"/>
      <c r="D311" s="35"/>
      <c r="E311" s="265" t="str">
        <f>AI311</f>
        <v>In der FAH treten mässige Helligkeitswechsel auf.</v>
      </c>
      <c r="F311" s="265"/>
      <c r="G311" s="28"/>
      <c r="H311" s="28"/>
      <c r="I311" s="28"/>
      <c r="J311" s="99"/>
      <c r="K311" s="319"/>
      <c r="L311" s="20"/>
      <c r="M311" s="18"/>
      <c r="N311" s="99" t="s">
        <v>178</v>
      </c>
      <c r="O311" s="319"/>
      <c r="P311" s="20"/>
      <c r="Q311" s="18"/>
      <c r="R311" s="99"/>
      <c r="S311" s="319"/>
      <c r="T311" s="20"/>
      <c r="U311" s="18"/>
      <c r="V311" s="99"/>
      <c r="W311" s="319"/>
      <c r="X311" s="20"/>
      <c r="Y311" s="18"/>
      <c r="Z311" s="99"/>
      <c r="AA311" s="319"/>
      <c r="AB311" s="18"/>
      <c r="AD311" s="51"/>
      <c r="AF311" s="31"/>
      <c r="AG311" s="305" t="s">
        <v>42</v>
      </c>
      <c r="AH311" s="306"/>
      <c r="AI311" s="298" t="s">
        <v>109</v>
      </c>
      <c r="AJ311" s="227"/>
      <c r="AK311" s="227"/>
      <c r="AL311" s="228"/>
      <c r="AO311" s="7"/>
    </row>
    <row r="312" spans="3:41" s="5" customFormat="1" ht="34.200000000000003" customHeight="1" x14ac:dyDescent="0.25">
      <c r="C312" s="28"/>
      <c r="D312" s="32"/>
      <c r="E312" s="265" t="str">
        <f>AI312</f>
        <v>In der FAH herrscht völlige Dunkelheit oder es treten abrupte Helligkeitswechsel auf.</v>
      </c>
      <c r="F312" s="265"/>
      <c r="G312" s="28"/>
      <c r="H312" s="28"/>
      <c r="I312" s="28"/>
      <c r="J312" s="99"/>
      <c r="K312" s="320"/>
      <c r="L312" s="20"/>
      <c r="M312" s="18"/>
      <c r="N312" s="99"/>
      <c r="O312" s="320"/>
      <c r="P312" s="20"/>
      <c r="Q312" s="18"/>
      <c r="R312" s="99"/>
      <c r="S312" s="320"/>
      <c r="T312" s="20"/>
      <c r="U312" s="18"/>
      <c r="V312" s="99"/>
      <c r="W312" s="320"/>
      <c r="X312" s="20"/>
      <c r="Y312" s="18"/>
      <c r="Z312" s="99"/>
      <c r="AA312" s="320"/>
      <c r="AB312" s="18"/>
      <c r="AD312" s="51"/>
      <c r="AF312" s="32"/>
      <c r="AG312" s="305" t="s">
        <v>43</v>
      </c>
      <c r="AH312" s="306"/>
      <c r="AI312" s="298" t="s">
        <v>482</v>
      </c>
      <c r="AJ312" s="227"/>
      <c r="AK312" s="227"/>
      <c r="AL312" s="228"/>
      <c r="AO312" s="7"/>
    </row>
    <row r="313" spans="3:41" s="5" customFormat="1" ht="15" customHeight="1" x14ac:dyDescent="0.25">
      <c r="C313" s="28"/>
      <c r="D313" s="28"/>
      <c r="E313" s="28"/>
      <c r="F313" s="28"/>
      <c r="G313" s="28"/>
      <c r="H313" s="28"/>
      <c r="I313" s="28"/>
      <c r="J313" s="25" t="str">
        <f>IF(COUNTIF(J$310:J$312,"x")&lt;&gt;1,"FEHLER",IF(J$310="x","gut",IF(J$311="x","mässig","schlecht")))</f>
        <v>gut</v>
      </c>
      <c r="K313" s="99" t="s">
        <v>45</v>
      </c>
      <c r="L313" s="20"/>
      <c r="M313" s="18"/>
      <c r="N313" s="25" t="str">
        <f>IF(COUNTIF(N$310:N$312,"x")&lt;&gt;1,"FEHLER",IF(N$310="x","gut",IF(N$311="x","mässig","schlecht")))</f>
        <v>mässig</v>
      </c>
      <c r="O313" s="99" t="s">
        <v>45</v>
      </c>
      <c r="P313" s="20"/>
      <c r="Q313" s="18"/>
      <c r="R313" s="25" t="str">
        <f>IF(COUNTIF(R$310:R$312,"x")&lt;&gt;1,"FEHLER",IF(R$310="x","gut",IF(R$311="x","mässig","schlecht")))</f>
        <v>gut</v>
      </c>
      <c r="S313" s="99" t="s">
        <v>45</v>
      </c>
      <c r="T313" s="20"/>
      <c r="U313" s="18"/>
      <c r="V313" s="25" t="str">
        <f>IF(COUNTIF(V$310:V$312,"x")&lt;&gt;1,"FEHLER",IF(V$310="x","gut",IF(V$311="x","mässig","schlecht")))</f>
        <v>FEHLER</v>
      </c>
      <c r="W313" s="99" t="s">
        <v>45</v>
      </c>
      <c r="X313" s="20"/>
      <c r="Y313" s="18"/>
      <c r="Z313" s="25" t="str">
        <f>IF(COUNTIF(Z$310:Z$312,"x")&lt;&gt;1,"FEHLER",IF(Z$310="x","gut",IF(Z$311="x","mässig","schlecht")))</f>
        <v>FEHLER</v>
      </c>
      <c r="AA313" s="99" t="s">
        <v>45</v>
      </c>
      <c r="AB313" s="18"/>
      <c r="AC313" s="54"/>
      <c r="AD313" s="51"/>
      <c r="AF313" s="28"/>
      <c r="AG313" s="28"/>
      <c r="AH313" s="28"/>
      <c r="AI313" s="27"/>
      <c r="AJ313" s="27"/>
      <c r="AK313" s="28"/>
      <c r="AL313" s="28"/>
      <c r="AO313" s="7"/>
    </row>
    <row r="314" spans="3:41" s="5" customFormat="1" ht="15" customHeight="1" x14ac:dyDescent="0.25">
      <c r="C314" s="28"/>
      <c r="D314" s="28"/>
      <c r="E314" s="28"/>
      <c r="F314" s="28"/>
      <c r="G314" s="28"/>
      <c r="H314" s="28"/>
      <c r="I314" s="28"/>
      <c r="J314" s="18"/>
      <c r="K314" s="18"/>
      <c r="L314" s="18"/>
      <c r="M314" s="18"/>
      <c r="N314" s="18"/>
      <c r="O314" s="18"/>
      <c r="P314" s="18"/>
      <c r="Q314" s="18"/>
      <c r="R314" s="18"/>
      <c r="S314" s="18"/>
      <c r="T314" s="18"/>
      <c r="U314" s="18"/>
      <c r="V314" s="18"/>
      <c r="W314" s="18"/>
      <c r="X314" s="18"/>
      <c r="Y314" s="18"/>
      <c r="Z314" s="18"/>
      <c r="AA314" s="18"/>
      <c r="AB314" s="18"/>
      <c r="AC314" s="54"/>
      <c r="AD314" s="51"/>
      <c r="AF314" s="28"/>
      <c r="AG314" s="28"/>
      <c r="AH314" s="28"/>
      <c r="AI314" s="27"/>
      <c r="AJ314" s="27"/>
      <c r="AK314" s="28"/>
      <c r="AL314" s="28"/>
      <c r="AO314" s="7"/>
    </row>
    <row r="315" spans="3:41" s="5" customFormat="1" ht="15" customHeight="1" x14ac:dyDescent="0.25">
      <c r="E315" s="280"/>
      <c r="F315" s="280"/>
      <c r="G315" s="6"/>
      <c r="H315" s="6"/>
      <c r="I315" s="6"/>
      <c r="J315" s="1"/>
      <c r="K315" s="1"/>
      <c r="L315" s="1"/>
      <c r="M315" s="1"/>
      <c r="N315" s="1"/>
      <c r="O315" s="1"/>
      <c r="P315" s="1"/>
      <c r="Q315" s="1"/>
      <c r="R315" s="1"/>
      <c r="S315" s="1"/>
      <c r="T315" s="1"/>
      <c r="U315" s="1"/>
      <c r="V315" s="1"/>
      <c r="W315" s="1"/>
      <c r="X315" s="1"/>
      <c r="Y315" s="1"/>
      <c r="Z315" s="1"/>
      <c r="AA315" s="1"/>
      <c r="AB315" s="1"/>
      <c r="AD315" s="51"/>
      <c r="AO315" s="7"/>
    </row>
    <row r="316" spans="3:41" s="5" customFormat="1" ht="15" customHeight="1" x14ac:dyDescent="0.25">
      <c r="E316" s="3"/>
      <c r="F316" s="3"/>
      <c r="G316" s="6"/>
      <c r="H316" s="6"/>
      <c r="I316" s="6"/>
      <c r="J316" s="1"/>
      <c r="K316" s="1"/>
      <c r="L316" s="1"/>
      <c r="M316" s="1"/>
      <c r="N316" s="1"/>
      <c r="O316" s="1"/>
      <c r="P316" s="1"/>
      <c r="Q316" s="1"/>
      <c r="R316" s="1"/>
      <c r="S316" s="1"/>
      <c r="T316" s="1"/>
      <c r="U316" s="1"/>
      <c r="V316" s="1"/>
      <c r="W316" s="1"/>
      <c r="X316" s="1"/>
      <c r="Y316" s="1"/>
      <c r="Z316" s="1"/>
      <c r="AA316" s="1"/>
      <c r="AB316" s="1"/>
      <c r="AD316" s="51"/>
      <c r="AO316" s="7"/>
    </row>
    <row r="317" spans="3:41" s="5" customFormat="1" ht="15" customHeight="1" x14ac:dyDescent="0.25">
      <c r="C317" s="266" t="s">
        <v>369</v>
      </c>
      <c r="D317" s="266"/>
      <c r="E317" s="266"/>
      <c r="F317" s="266"/>
      <c r="G317" s="28"/>
      <c r="H317" s="28"/>
      <c r="I317" s="28"/>
      <c r="J317" s="18"/>
      <c r="K317" s="18"/>
      <c r="L317" s="18"/>
      <c r="M317" s="18"/>
      <c r="N317" s="18"/>
      <c r="O317" s="18"/>
      <c r="P317" s="18"/>
      <c r="Q317" s="18"/>
      <c r="R317" s="18"/>
      <c r="S317" s="18"/>
      <c r="T317" s="18"/>
      <c r="U317" s="18"/>
      <c r="V317" s="18"/>
      <c r="W317" s="18"/>
      <c r="X317" s="18"/>
      <c r="Y317" s="18"/>
      <c r="Z317" s="18"/>
      <c r="AA317" s="18"/>
      <c r="AB317" s="18"/>
      <c r="AD317" s="51"/>
      <c r="AF317" s="27"/>
      <c r="AG317" s="28"/>
      <c r="AH317" s="27"/>
      <c r="AI317" s="309"/>
      <c r="AJ317" s="309"/>
      <c r="AK317" s="309"/>
      <c r="AL317" s="309"/>
      <c r="AO317" s="7"/>
    </row>
    <row r="318" spans="3:41" s="5" customFormat="1" ht="15" customHeight="1" x14ac:dyDescent="0.25">
      <c r="C318" s="28"/>
      <c r="D318" s="28"/>
      <c r="E318" s="28"/>
      <c r="F318" s="28"/>
      <c r="G318" s="28"/>
      <c r="H318" s="28"/>
      <c r="I318" s="70"/>
      <c r="J318" s="316" t="str">
        <f>IF(ISBLANK('(3) Variantenbewertung'!$I$11),"",'(3) Variantenbewertung'!$I$11)</f>
        <v>V1</v>
      </c>
      <c r="K318" s="316"/>
      <c r="L318" s="18"/>
      <c r="M318" s="18"/>
      <c r="N318" s="316" t="str">
        <f>IF(ISBLANK('(3) Variantenbewertung'!$L$11),"",'(3) Variantenbewertung'!$L$11)</f>
        <v>V2</v>
      </c>
      <c r="O318" s="316"/>
      <c r="P318" s="18"/>
      <c r="Q318" s="18"/>
      <c r="R318" s="316" t="str">
        <f>IF(ISBLANK('(3) Variantenbewertung'!$O$11),"",'(3) Variantenbewertung'!$O$11)</f>
        <v>V3</v>
      </c>
      <c r="S318" s="316"/>
      <c r="T318" s="55"/>
      <c r="U318" s="18"/>
      <c r="V318" s="316" t="str">
        <f>IF(ISBLANK('(3) Variantenbewertung'!$R$11),"",'(3) Variantenbewertung'!$R$11)</f>
        <v/>
      </c>
      <c r="W318" s="316"/>
      <c r="X318" s="18"/>
      <c r="Y318" s="18"/>
      <c r="Z318" s="316" t="str">
        <f>IF(ISBLANK('(3) Variantenbewertung'!$U$11),"",'(3) Variantenbewertung'!$U$11)</f>
        <v/>
      </c>
      <c r="AA318" s="316"/>
      <c r="AB318" s="18"/>
      <c r="AD318" s="51"/>
      <c r="AF318" s="27"/>
      <c r="AG318" s="28"/>
      <c r="AH318" s="27"/>
      <c r="AI318" s="28"/>
      <c r="AJ318" s="28"/>
      <c r="AK318" s="28"/>
      <c r="AL318" s="28"/>
      <c r="AO318" s="7"/>
    </row>
    <row r="319" spans="3:41" s="5" customFormat="1" ht="15" customHeight="1" x14ac:dyDescent="0.25">
      <c r="C319" s="28"/>
      <c r="D319" s="28"/>
      <c r="E319" s="28"/>
      <c r="F319" s="28"/>
      <c r="G319" s="28"/>
      <c r="H319" s="28"/>
      <c r="I319" s="28"/>
      <c r="J319" s="132" t="s">
        <v>221</v>
      </c>
      <c r="K319" s="133" t="s">
        <v>222</v>
      </c>
      <c r="L319" s="126"/>
      <c r="M319" s="17"/>
      <c r="N319" s="132" t="s">
        <v>221</v>
      </c>
      <c r="O319" s="133" t="s">
        <v>222</v>
      </c>
      <c r="P319" s="126"/>
      <c r="Q319" s="17"/>
      <c r="R319" s="132" t="s">
        <v>221</v>
      </c>
      <c r="S319" s="133" t="s">
        <v>222</v>
      </c>
      <c r="T319" s="126"/>
      <c r="U319" s="17"/>
      <c r="V319" s="132" t="s">
        <v>221</v>
      </c>
      <c r="W319" s="133" t="s">
        <v>222</v>
      </c>
      <c r="X319" s="126"/>
      <c r="Y319" s="17"/>
      <c r="Z319" s="132" t="s">
        <v>221</v>
      </c>
      <c r="AA319" s="133" t="s">
        <v>222</v>
      </c>
      <c r="AB319" s="17"/>
      <c r="AD319" s="51"/>
      <c r="AF319" s="27"/>
      <c r="AG319" s="28"/>
      <c r="AH319" s="27"/>
      <c r="AI319" s="294"/>
      <c r="AJ319" s="294"/>
      <c r="AK319" s="294"/>
      <c r="AL319" s="294"/>
      <c r="AO319" s="7"/>
    </row>
    <row r="320" spans="3:41" s="5" customFormat="1" ht="15" customHeight="1" x14ac:dyDescent="0.25">
      <c r="C320" s="28"/>
      <c r="D320" s="28"/>
      <c r="E320" s="27"/>
      <c r="F320" s="27"/>
      <c r="G320" s="28"/>
      <c r="H320" s="28"/>
      <c r="I320" s="28"/>
      <c r="J320" s="125" t="s">
        <v>66</v>
      </c>
      <c r="K320" s="53" t="str">
        <f>IF($E$321="Nicht vorhanden","","Bitte begründen:")</f>
        <v>Bitte begründen:</v>
      </c>
      <c r="L320" s="127"/>
      <c r="M320" s="17"/>
      <c r="N320" s="125" t="s">
        <v>66</v>
      </c>
      <c r="O320" s="53" t="str">
        <f>IF($E$321="Nicht vorhanden","","Bitte begründen:")</f>
        <v>Bitte begründen:</v>
      </c>
      <c r="P320" s="127"/>
      <c r="Q320" s="17"/>
      <c r="R320" s="125" t="s">
        <v>66</v>
      </c>
      <c r="S320" s="53" t="str">
        <f>IF($E$321="Nicht vorhanden","","Bitte begründen:")</f>
        <v>Bitte begründen:</v>
      </c>
      <c r="T320" s="127"/>
      <c r="U320" s="17"/>
      <c r="V320" s="125" t="s">
        <v>66</v>
      </c>
      <c r="W320" s="53" t="str">
        <f>IF($E$321="Nicht vorhanden","","Bitte begründen:")</f>
        <v>Bitte begründen:</v>
      </c>
      <c r="X320" s="127"/>
      <c r="Y320" s="17"/>
      <c r="Z320" s="125" t="s">
        <v>66</v>
      </c>
      <c r="AA320" s="53" t="str">
        <f>IF($E$321="Nicht vorhanden","","Bitte begründen:")</f>
        <v>Bitte begründen:</v>
      </c>
      <c r="AB320" s="17"/>
      <c r="AD320" s="51"/>
      <c r="AF320" s="27"/>
      <c r="AG320" s="27"/>
      <c r="AH320" s="27"/>
      <c r="AI320" s="27"/>
      <c r="AJ320" s="27"/>
      <c r="AK320" s="27"/>
      <c r="AL320" s="27"/>
      <c r="AO320" s="7"/>
    </row>
    <row r="321" spans="3:41" s="5" customFormat="1" ht="33.6" customHeight="1" x14ac:dyDescent="0.25">
      <c r="C321" s="28"/>
      <c r="D321" s="30"/>
      <c r="E321" s="265" t="str">
        <f>AI321</f>
        <v>Die FAH benötigt einen geringen Unterhalt, um ihre Funktion sicherzustellen.</v>
      </c>
      <c r="F321" s="265"/>
      <c r="G321" s="28"/>
      <c r="H321" s="28"/>
      <c r="I321" s="28"/>
      <c r="J321" s="199"/>
      <c r="K321" s="318"/>
      <c r="L321" s="20"/>
      <c r="M321" s="18"/>
      <c r="N321" s="199"/>
      <c r="O321" s="318"/>
      <c r="P321" s="20"/>
      <c r="Q321" s="18"/>
      <c r="R321" s="199" t="s">
        <v>178</v>
      </c>
      <c r="S321" s="318"/>
      <c r="T321" s="20"/>
      <c r="U321" s="20"/>
      <c r="V321" s="199"/>
      <c r="W321" s="318"/>
      <c r="X321" s="20"/>
      <c r="Y321" s="18"/>
      <c r="Z321" s="199"/>
      <c r="AA321" s="318"/>
      <c r="AB321" s="18"/>
      <c r="AD321" s="51"/>
      <c r="AF321" s="66"/>
      <c r="AG321" s="305" t="s">
        <v>10</v>
      </c>
      <c r="AH321" s="306"/>
      <c r="AI321" s="298" t="s">
        <v>172</v>
      </c>
      <c r="AJ321" s="227"/>
      <c r="AK321" s="227"/>
      <c r="AL321" s="228"/>
      <c r="AO321" s="7"/>
    </row>
    <row r="322" spans="3:41" s="5" customFormat="1" ht="33.6" customHeight="1" x14ac:dyDescent="0.25">
      <c r="C322" s="36"/>
      <c r="D322" s="35"/>
      <c r="E322" s="265" t="str">
        <f>AI322</f>
        <v>Die FAH benötigt einen mässigen Unterhalt, um ihre Funktion sicherzustellen.</v>
      </c>
      <c r="F322" s="265"/>
      <c r="G322" s="28"/>
      <c r="H322" s="28"/>
      <c r="I322" s="28"/>
      <c r="J322" s="99" t="s">
        <v>178</v>
      </c>
      <c r="K322" s="319"/>
      <c r="L322" s="20"/>
      <c r="M322" s="18"/>
      <c r="N322" s="99" t="s">
        <v>178</v>
      </c>
      <c r="O322" s="319"/>
      <c r="P322" s="20"/>
      <c r="Q322" s="18"/>
      <c r="R322" s="99"/>
      <c r="S322" s="319"/>
      <c r="T322" s="20"/>
      <c r="U322" s="18"/>
      <c r="V322" s="99"/>
      <c r="W322" s="319"/>
      <c r="X322" s="20"/>
      <c r="Y322" s="18"/>
      <c r="Z322" s="99"/>
      <c r="AA322" s="319"/>
      <c r="AB322" s="18"/>
      <c r="AD322" s="51"/>
      <c r="AF322" s="31"/>
      <c r="AG322" s="305" t="s">
        <v>42</v>
      </c>
      <c r="AH322" s="306"/>
      <c r="AI322" s="298" t="s">
        <v>174</v>
      </c>
      <c r="AJ322" s="227"/>
      <c r="AK322" s="227"/>
      <c r="AL322" s="228"/>
      <c r="AO322" s="7"/>
    </row>
    <row r="323" spans="3:41" ht="33.6" customHeight="1" x14ac:dyDescent="0.25">
      <c r="C323" s="28"/>
      <c r="D323" s="32"/>
      <c r="E323" s="265" t="str">
        <f>AI323</f>
        <v>Die FAH benötigt einen intensiven Unterhalt, um ihre Funktion sicherzustellen.</v>
      </c>
      <c r="F323" s="265"/>
      <c r="G323" s="28"/>
      <c r="H323" s="28"/>
      <c r="I323" s="28"/>
      <c r="J323" s="99"/>
      <c r="K323" s="320"/>
      <c r="L323" s="20"/>
      <c r="M323" s="18"/>
      <c r="N323" s="99"/>
      <c r="O323" s="320"/>
      <c r="P323" s="20"/>
      <c r="Q323" s="18"/>
      <c r="R323" s="99"/>
      <c r="S323" s="320"/>
      <c r="T323" s="20"/>
      <c r="U323" s="18"/>
      <c r="V323" s="99"/>
      <c r="W323" s="320"/>
      <c r="X323" s="20"/>
      <c r="Y323" s="18"/>
      <c r="Z323" s="99"/>
      <c r="AA323" s="320"/>
      <c r="AB323" s="18"/>
      <c r="AC323" s="5"/>
      <c r="AD323" s="51"/>
      <c r="AE323" s="5"/>
      <c r="AF323" s="32"/>
      <c r="AG323" s="305" t="s">
        <v>43</v>
      </c>
      <c r="AH323" s="306"/>
      <c r="AI323" s="298" t="s">
        <v>173</v>
      </c>
      <c r="AJ323" s="227"/>
      <c r="AK323" s="227"/>
      <c r="AL323" s="228"/>
    </row>
    <row r="324" spans="3:41" ht="15" customHeight="1" x14ac:dyDescent="0.25">
      <c r="C324" s="28"/>
      <c r="D324" s="28"/>
      <c r="E324" s="28"/>
      <c r="F324" s="28"/>
      <c r="G324" s="28"/>
      <c r="H324" s="28"/>
      <c r="I324" s="28"/>
      <c r="J324" s="25" t="str">
        <f>IF(COUNTIF(J$321:J$323,"x")&lt;&gt;1,"FEHLER",IF(J$321="x","gut",IF(J$322="x","mässig","schlecht")))</f>
        <v>mässig</v>
      </c>
      <c r="K324" s="20"/>
      <c r="L324" s="20"/>
      <c r="M324" s="18"/>
      <c r="N324" s="25" t="str">
        <f>IF(COUNTIF(N$321:N$323,"x")&lt;&gt;1,"FEHLER",IF(N$321="x","gut",IF(N$322="x","mässig","schlecht")))</f>
        <v>mässig</v>
      </c>
      <c r="O324" s="20"/>
      <c r="P324" s="20"/>
      <c r="Q324" s="18"/>
      <c r="R324" s="25" t="str">
        <f>IF(COUNTIF(R$321:R$323,"x")&lt;&gt;1,"FEHLER",IF(R$321="x","gut",IF(R$322="x","mässig","schlecht")))</f>
        <v>gut</v>
      </c>
      <c r="S324" s="20"/>
      <c r="T324" s="20"/>
      <c r="U324" s="18"/>
      <c r="V324" s="25" t="str">
        <f>IF(COUNTIF(V$321:V$323,"x")&lt;&gt;1,"FEHLER",IF(V$321="x","gut",IF(V$322="x","mässig","schlecht")))</f>
        <v>FEHLER</v>
      </c>
      <c r="W324" s="20"/>
      <c r="X324" s="20"/>
      <c r="Y324" s="18"/>
      <c r="Z324" s="25" t="str">
        <f>IF(COUNTIF(Z$321:Z$323,"x")&lt;&gt;1,"FEHLER",IF(Z$321="x","gut",IF(Z$322="x","mässig","schlecht")))</f>
        <v>FEHLER</v>
      </c>
      <c r="AA324" s="20"/>
      <c r="AB324" s="18"/>
      <c r="AC324" s="5"/>
      <c r="AD324" s="51"/>
      <c r="AE324" s="5"/>
      <c r="AF324" s="28"/>
      <c r="AG324" s="28"/>
      <c r="AH324" s="28"/>
      <c r="AI324" s="27"/>
      <c r="AJ324" s="27"/>
      <c r="AK324" s="28"/>
      <c r="AL324" s="28"/>
    </row>
    <row r="325" spans="3:41" ht="15" customHeight="1" x14ac:dyDescent="0.25">
      <c r="C325" s="28"/>
      <c r="D325" s="28"/>
      <c r="E325" s="28"/>
      <c r="F325" s="28"/>
      <c r="G325" s="28"/>
      <c r="H325" s="28"/>
      <c r="I325" s="28"/>
      <c r="J325" s="18"/>
      <c r="K325" s="18"/>
      <c r="L325" s="18"/>
      <c r="M325" s="18"/>
      <c r="N325" s="18"/>
      <c r="O325" s="18"/>
      <c r="P325" s="18"/>
      <c r="Q325" s="18"/>
      <c r="R325" s="18"/>
      <c r="S325" s="18"/>
      <c r="T325" s="18"/>
      <c r="U325" s="18"/>
      <c r="V325" s="18"/>
      <c r="W325" s="18"/>
      <c r="X325" s="18"/>
      <c r="Y325" s="18"/>
      <c r="Z325" s="18"/>
      <c r="AA325" s="18"/>
      <c r="AB325" s="18"/>
      <c r="AC325" s="5"/>
      <c r="AD325" s="51"/>
      <c r="AE325" s="5"/>
      <c r="AF325" s="28"/>
      <c r="AG325" s="28"/>
      <c r="AH325" s="28"/>
      <c r="AI325" s="27"/>
      <c r="AJ325" s="27"/>
      <c r="AK325" s="28"/>
      <c r="AL325" s="28"/>
    </row>
    <row r="326" spans="3:41" ht="15" customHeight="1" x14ac:dyDescent="0.25"/>
    <row r="327" spans="3:41" ht="15" customHeight="1" x14ac:dyDescent="0.25"/>
    <row r="328" spans="3:41" ht="15" customHeight="1" x14ac:dyDescent="0.25">
      <c r="C328" s="266" t="s">
        <v>370</v>
      </c>
      <c r="D328" s="266"/>
      <c r="E328" s="266"/>
      <c r="F328" s="266"/>
      <c r="G328" s="28"/>
      <c r="H328" s="28"/>
      <c r="I328" s="28"/>
      <c r="J328" s="18"/>
      <c r="K328" s="18"/>
      <c r="L328" s="18"/>
      <c r="M328" s="18"/>
      <c r="N328" s="18"/>
      <c r="O328" s="18"/>
      <c r="P328" s="18"/>
      <c r="Q328" s="18"/>
      <c r="R328" s="18"/>
      <c r="S328" s="18"/>
      <c r="T328" s="18"/>
      <c r="U328" s="18"/>
      <c r="V328" s="18"/>
      <c r="W328" s="18"/>
      <c r="X328" s="18"/>
      <c r="Y328" s="18"/>
      <c r="Z328" s="18"/>
      <c r="AA328" s="18"/>
      <c r="AB328" s="18"/>
      <c r="AC328" s="5"/>
      <c r="AD328" s="51"/>
      <c r="AE328" s="5"/>
      <c r="AF328" s="27"/>
      <c r="AG328" s="28"/>
      <c r="AH328" s="27"/>
      <c r="AI328" s="309"/>
      <c r="AJ328" s="309"/>
      <c r="AK328" s="309"/>
      <c r="AL328" s="309"/>
    </row>
    <row r="329" spans="3:41" ht="15" customHeight="1" x14ac:dyDescent="0.25">
      <c r="C329" s="28"/>
      <c r="D329" s="28"/>
      <c r="E329" s="28"/>
      <c r="F329" s="28"/>
      <c r="G329" s="28"/>
      <c r="H329" s="28"/>
      <c r="I329" s="70"/>
      <c r="J329" s="316" t="str">
        <f>IF(ISBLANK('(3) Variantenbewertung'!$I$11),"",'(3) Variantenbewertung'!$I$11)</f>
        <v>V1</v>
      </c>
      <c r="K329" s="316"/>
      <c r="L329" s="18"/>
      <c r="M329" s="18"/>
      <c r="N329" s="316" t="str">
        <f>IF(ISBLANK('(3) Variantenbewertung'!$L$11),"",'(3) Variantenbewertung'!$L$11)</f>
        <v>V2</v>
      </c>
      <c r="O329" s="316"/>
      <c r="P329" s="18"/>
      <c r="Q329" s="18"/>
      <c r="R329" s="316" t="str">
        <f>IF(ISBLANK('(3) Variantenbewertung'!$O$11),"",'(3) Variantenbewertung'!$O$11)</f>
        <v>V3</v>
      </c>
      <c r="S329" s="316"/>
      <c r="T329" s="55"/>
      <c r="U329" s="18"/>
      <c r="V329" s="316" t="str">
        <f>IF(ISBLANK('(3) Variantenbewertung'!$R$11),"",'(3) Variantenbewertung'!$R$11)</f>
        <v/>
      </c>
      <c r="W329" s="316"/>
      <c r="X329" s="18"/>
      <c r="Y329" s="18"/>
      <c r="Z329" s="316" t="str">
        <f>IF(ISBLANK('(3) Variantenbewertung'!$U$11),"",'(3) Variantenbewertung'!$U$11)</f>
        <v/>
      </c>
      <c r="AA329" s="316"/>
      <c r="AB329" s="18"/>
      <c r="AC329" s="5"/>
      <c r="AD329" s="51"/>
      <c r="AE329" s="5"/>
      <c r="AF329" s="27"/>
      <c r="AG329" s="28"/>
      <c r="AH329" s="27"/>
      <c r="AI329" s="28"/>
      <c r="AJ329" s="28"/>
      <c r="AK329" s="28"/>
      <c r="AL329" s="28"/>
    </row>
    <row r="330" spans="3:41" ht="15" customHeight="1" x14ac:dyDescent="0.25">
      <c r="C330" s="28"/>
      <c r="D330" s="28"/>
      <c r="E330" s="28"/>
      <c r="F330" s="28"/>
      <c r="G330" s="28"/>
      <c r="H330" s="28"/>
      <c r="I330" s="28"/>
      <c r="J330" s="132" t="s">
        <v>221</v>
      </c>
      <c r="K330" s="133" t="s">
        <v>222</v>
      </c>
      <c r="L330" s="126"/>
      <c r="M330" s="17"/>
      <c r="N330" s="132" t="s">
        <v>221</v>
      </c>
      <c r="O330" s="133" t="s">
        <v>222</v>
      </c>
      <c r="P330" s="126"/>
      <c r="Q330" s="17"/>
      <c r="R330" s="132" t="s">
        <v>221</v>
      </c>
      <c r="S330" s="133" t="s">
        <v>222</v>
      </c>
      <c r="T330" s="126"/>
      <c r="U330" s="17"/>
      <c r="V330" s="132" t="s">
        <v>221</v>
      </c>
      <c r="W330" s="133" t="s">
        <v>222</v>
      </c>
      <c r="X330" s="126"/>
      <c r="Y330" s="17"/>
      <c r="Z330" s="132" t="s">
        <v>221</v>
      </c>
      <c r="AA330" s="133" t="s">
        <v>222</v>
      </c>
      <c r="AB330" s="17"/>
      <c r="AC330" s="5"/>
      <c r="AD330" s="51"/>
      <c r="AE330" s="5"/>
      <c r="AF330" s="27"/>
      <c r="AG330" s="28"/>
      <c r="AH330" s="27"/>
      <c r="AI330" s="294"/>
      <c r="AJ330" s="294"/>
      <c r="AK330" s="294"/>
      <c r="AL330" s="294"/>
    </row>
    <row r="331" spans="3:41" ht="15" customHeight="1" x14ac:dyDescent="0.25">
      <c r="C331" s="28"/>
      <c r="D331" s="28"/>
      <c r="E331" s="27"/>
      <c r="F331" s="27"/>
      <c r="G331" s="28"/>
      <c r="H331" s="28"/>
      <c r="I331" s="28"/>
      <c r="J331" s="125" t="s">
        <v>66</v>
      </c>
      <c r="K331" s="53" t="str">
        <f>IF(NOT(K335="keine Korrektur"),"Bitte begründen:","")</f>
        <v/>
      </c>
      <c r="L331" s="127"/>
      <c r="M331" s="17"/>
      <c r="N331" s="125" t="s">
        <v>66</v>
      </c>
      <c r="O331" s="53" t="str">
        <f>IF(NOT(O335="keine Korrektur"),"Bitte begründen:","")</f>
        <v/>
      </c>
      <c r="P331" s="127"/>
      <c r="Q331" s="17"/>
      <c r="R331" s="125" t="s">
        <v>66</v>
      </c>
      <c r="S331" s="53" t="str">
        <f>IF(NOT(S335="keine Korrektur"),"Bitte begründen:","")</f>
        <v/>
      </c>
      <c r="T331" s="127"/>
      <c r="U331" s="17"/>
      <c r="V331" s="125" t="s">
        <v>66</v>
      </c>
      <c r="W331" s="53" t="str">
        <f>IF(NOT(W335="keine Korrektur"),"Bitte begründen:","")</f>
        <v/>
      </c>
      <c r="X331" s="127"/>
      <c r="Y331" s="17"/>
      <c r="Z331" s="125" t="s">
        <v>66</v>
      </c>
      <c r="AA331" s="53" t="str">
        <f>IF(NOT(AA335="keine Korrektur"),"Bitte begründen:","")</f>
        <v/>
      </c>
      <c r="AB331" s="17"/>
      <c r="AC331" s="5"/>
      <c r="AD331" s="51"/>
      <c r="AE331" s="5"/>
      <c r="AF331" s="27"/>
      <c r="AG331" s="27"/>
      <c r="AH331" s="27"/>
      <c r="AI331" s="27"/>
      <c r="AJ331" s="27"/>
      <c r="AK331" s="27"/>
      <c r="AL331" s="27"/>
    </row>
    <row r="332" spans="3:41" ht="54" customHeight="1" x14ac:dyDescent="0.25">
      <c r="C332" s="28"/>
      <c r="D332" s="30"/>
      <c r="E332" s="265" t="str">
        <f>AI332</f>
        <v>Die FAH ist abgedeckt oder strukturiert ausgestaltet. Beim Ausstieg ist ein strukturreiches Ufer vorhanden.</v>
      </c>
      <c r="F332" s="265"/>
      <c r="G332" s="28"/>
      <c r="H332" s="28"/>
      <c r="I332" s="28"/>
      <c r="J332" s="199" t="s">
        <v>178</v>
      </c>
      <c r="K332" s="318"/>
      <c r="L332" s="20"/>
      <c r="M332" s="18"/>
      <c r="N332" s="199"/>
      <c r="O332" s="318"/>
      <c r="P332" s="20"/>
      <c r="Q332" s="18"/>
      <c r="R332" s="199" t="s">
        <v>178</v>
      </c>
      <c r="S332" s="318"/>
      <c r="T332" s="20"/>
      <c r="U332" s="20"/>
      <c r="V332" s="199"/>
      <c r="W332" s="318"/>
      <c r="X332" s="20"/>
      <c r="Y332" s="18"/>
      <c r="Z332" s="199"/>
      <c r="AA332" s="318"/>
      <c r="AB332" s="18"/>
      <c r="AC332" s="5"/>
      <c r="AD332" s="51"/>
      <c r="AE332" s="5"/>
      <c r="AF332" s="66"/>
      <c r="AG332" s="305" t="s">
        <v>10</v>
      </c>
      <c r="AH332" s="306"/>
      <c r="AI332" s="298" t="s">
        <v>169</v>
      </c>
      <c r="AJ332" s="227"/>
      <c r="AK332" s="227"/>
      <c r="AL332" s="228"/>
    </row>
    <row r="333" spans="3:41" ht="54" customHeight="1" x14ac:dyDescent="0.25">
      <c r="C333" s="36"/>
      <c r="D333" s="35"/>
      <c r="E333" s="265" t="str">
        <f>AI333</f>
        <v>Die FAH ist teilweise abgedeckt oder leicht strukturiert ausgestaltet. Beim Ausstieg ist ein mässig strukturreiches Ufer vorhanden.</v>
      </c>
      <c r="F333" s="265"/>
      <c r="G333" s="28"/>
      <c r="H333" s="28"/>
      <c r="I333" s="28"/>
      <c r="J333" s="99"/>
      <c r="K333" s="319"/>
      <c r="L333" s="20"/>
      <c r="M333" s="18"/>
      <c r="N333" s="99" t="s">
        <v>178</v>
      </c>
      <c r="O333" s="319"/>
      <c r="P333" s="20"/>
      <c r="Q333" s="18"/>
      <c r="R333" s="99"/>
      <c r="S333" s="319"/>
      <c r="T333" s="20"/>
      <c r="U333" s="18"/>
      <c r="V333" s="99"/>
      <c r="W333" s="319"/>
      <c r="X333" s="20"/>
      <c r="Y333" s="18"/>
      <c r="Z333" s="99"/>
      <c r="AA333" s="319"/>
      <c r="AB333" s="18"/>
      <c r="AC333" s="5"/>
      <c r="AD333" s="51"/>
      <c r="AE333" s="5"/>
      <c r="AF333" s="31"/>
      <c r="AG333" s="305" t="s">
        <v>42</v>
      </c>
      <c r="AH333" s="306"/>
      <c r="AI333" s="298" t="s">
        <v>170</v>
      </c>
      <c r="AJ333" s="227"/>
      <c r="AK333" s="227"/>
      <c r="AL333" s="228"/>
    </row>
    <row r="334" spans="3:41" ht="54" customHeight="1" x14ac:dyDescent="0.25">
      <c r="C334" s="28"/>
      <c r="D334" s="32"/>
      <c r="E334" s="265" t="str">
        <f>AI334</f>
        <v>Die FAH ist nicht abgedeckt oder strukturarm ausgestaltet. Es sind Zonen mit besonders geringer Leistungsdichte ("Ruhebecken") vorhanden. Beim Ausstieg ist ein strukturarmes Ufer vorhanden.</v>
      </c>
      <c r="F334" s="265"/>
      <c r="G334" s="28"/>
      <c r="H334" s="28"/>
      <c r="I334" s="28"/>
      <c r="J334" s="99"/>
      <c r="K334" s="320"/>
      <c r="L334" s="20"/>
      <c r="M334" s="18"/>
      <c r="N334" s="99"/>
      <c r="O334" s="320"/>
      <c r="P334" s="20"/>
      <c r="Q334" s="18"/>
      <c r="R334" s="99"/>
      <c r="S334" s="320"/>
      <c r="T334" s="20"/>
      <c r="U334" s="18"/>
      <c r="V334" s="99"/>
      <c r="W334" s="320"/>
      <c r="X334" s="20"/>
      <c r="Y334" s="18"/>
      <c r="Z334" s="99"/>
      <c r="AA334" s="320"/>
      <c r="AB334" s="18"/>
      <c r="AC334" s="5"/>
      <c r="AD334" s="51"/>
      <c r="AE334" s="5"/>
      <c r="AF334" s="32"/>
      <c r="AG334" s="305" t="s">
        <v>43</v>
      </c>
      <c r="AH334" s="306"/>
      <c r="AI334" s="298" t="s">
        <v>171</v>
      </c>
      <c r="AJ334" s="227"/>
      <c r="AK334" s="227"/>
      <c r="AL334" s="228"/>
    </row>
    <row r="335" spans="3:41" ht="15" customHeight="1" x14ac:dyDescent="0.25">
      <c r="C335" s="28"/>
      <c r="D335" s="28"/>
      <c r="E335" s="28"/>
      <c r="F335" s="28"/>
      <c r="G335" s="28"/>
      <c r="H335" s="28"/>
      <c r="I335" s="28"/>
      <c r="J335" s="25" t="str">
        <f>IF(COUNTIF(J$332:J$334,"x")&lt;&gt;1,"FEHLER",IF(J$332="x","gut",IF(J$333="x","mässig","schlecht")))</f>
        <v>gut</v>
      </c>
      <c r="K335" s="99" t="s">
        <v>45</v>
      </c>
      <c r="L335" s="20"/>
      <c r="M335" s="18"/>
      <c r="N335" s="25" t="str">
        <f>IF(COUNTIF(N$332:N$334,"x")&lt;&gt;1,"FEHLER",IF(N$332="x","gut",IF(N$333="x","mässig","schlecht")))</f>
        <v>mässig</v>
      </c>
      <c r="O335" s="99" t="s">
        <v>45</v>
      </c>
      <c r="P335" s="20"/>
      <c r="Q335" s="18"/>
      <c r="R335" s="25" t="str">
        <f>IF(COUNTIF(R$332:R$334,"x")&lt;&gt;1,"FEHLER",IF(R$332="x","gut",IF(R$333="x","mässig","schlecht")))</f>
        <v>gut</v>
      </c>
      <c r="S335" s="99" t="s">
        <v>45</v>
      </c>
      <c r="T335" s="20"/>
      <c r="U335" s="18"/>
      <c r="V335" s="25" t="str">
        <f>IF(COUNTIF(V$332:V$334,"x")&lt;&gt;1,"FEHLER",IF(V$332="x","gut",IF(V$333="x","mässig","schlecht")))</f>
        <v>FEHLER</v>
      </c>
      <c r="W335" s="99" t="s">
        <v>45</v>
      </c>
      <c r="X335" s="20"/>
      <c r="Y335" s="18"/>
      <c r="Z335" s="25" t="str">
        <f>IF(COUNTIF(Z$332:Z$334,"x")&lt;&gt;1,"FEHLER",IF(Z$332="x","gut",IF(Z$333="x","mässig","schlecht")))</f>
        <v>FEHLER</v>
      </c>
      <c r="AA335" s="99" t="s">
        <v>45</v>
      </c>
      <c r="AB335" s="18"/>
      <c r="AC335" s="5"/>
      <c r="AD335" s="51"/>
      <c r="AE335" s="5"/>
      <c r="AF335" s="28"/>
      <c r="AG335" s="28"/>
      <c r="AH335" s="28"/>
      <c r="AI335" s="27"/>
      <c r="AJ335" s="27"/>
      <c r="AK335" s="28"/>
      <c r="AL335" s="28"/>
    </row>
    <row r="336" spans="3:41" ht="15" customHeight="1" x14ac:dyDescent="0.25">
      <c r="C336" s="28"/>
      <c r="D336" s="28"/>
      <c r="E336" s="28"/>
      <c r="F336" s="28"/>
      <c r="G336" s="28"/>
      <c r="H336" s="28"/>
      <c r="I336" s="28"/>
      <c r="J336" s="18"/>
      <c r="K336" s="18"/>
      <c r="L336" s="18"/>
      <c r="M336" s="18"/>
      <c r="N336" s="18"/>
      <c r="O336" s="18"/>
      <c r="P336" s="18"/>
      <c r="Q336" s="18"/>
      <c r="R336" s="18"/>
      <c r="S336" s="18"/>
      <c r="T336" s="18"/>
      <c r="U336" s="18"/>
      <c r="V336" s="18"/>
      <c r="W336" s="18"/>
      <c r="X336" s="18"/>
      <c r="Y336" s="18"/>
      <c r="Z336" s="18"/>
      <c r="AA336" s="18"/>
      <c r="AB336" s="18"/>
      <c r="AC336" s="5"/>
      <c r="AD336" s="51"/>
      <c r="AE336" s="5"/>
      <c r="AF336" s="28"/>
      <c r="AG336" s="28"/>
      <c r="AH336" s="28"/>
      <c r="AI336" s="27"/>
      <c r="AJ336" s="27"/>
      <c r="AK336" s="28"/>
      <c r="AL336" s="28"/>
    </row>
    <row r="337" spans="3:41" ht="15" customHeight="1" x14ac:dyDescent="0.25"/>
    <row r="338" spans="3:41" ht="15" customHeight="1" x14ac:dyDescent="0.25"/>
    <row r="339" spans="3:41" ht="15" customHeight="1" x14ac:dyDescent="0.25"/>
    <row r="340" spans="3:41" s="5" customFormat="1" ht="15" customHeight="1" x14ac:dyDescent="0.25">
      <c r="C340" s="2"/>
      <c r="D340" s="2"/>
      <c r="E340" s="2"/>
      <c r="F340" s="38"/>
      <c r="G340" s="29"/>
      <c r="H340" s="29"/>
      <c r="I340" s="29"/>
      <c r="J340" s="34"/>
      <c r="K340" s="34"/>
      <c r="L340" s="34"/>
      <c r="M340" s="34"/>
      <c r="N340" s="34"/>
      <c r="O340" s="34"/>
      <c r="P340" s="34"/>
      <c r="Q340" s="34"/>
      <c r="R340" s="34"/>
      <c r="S340" s="34"/>
      <c r="T340" s="34"/>
      <c r="U340" s="34"/>
      <c r="V340" s="34"/>
      <c r="W340" s="34"/>
      <c r="X340" s="34"/>
      <c r="Y340" s="34"/>
      <c r="Z340" s="34"/>
      <c r="AA340" s="34"/>
      <c r="AB340" s="34"/>
      <c r="AD340" s="51"/>
      <c r="AO340" s="7"/>
    </row>
    <row r="341" spans="3:41" s="5" customFormat="1" ht="15" customHeight="1" x14ac:dyDescent="0.25">
      <c r="F341" s="29"/>
      <c r="G341" s="29"/>
      <c r="H341" s="29"/>
      <c r="I341" s="130"/>
      <c r="J341" s="316" t="str">
        <f>IF(ISBLANK('(3) Variantenbewertung'!$I$11),"",'(3) Variantenbewertung'!$I$11)</f>
        <v>V1</v>
      </c>
      <c r="K341" s="316"/>
      <c r="L341" s="34"/>
      <c r="M341" s="34"/>
      <c r="N341" s="316" t="str">
        <f>IF(ISBLANK('(3) Variantenbewertung'!$L$11),"",'(3) Variantenbewertung'!$L$11)</f>
        <v>V2</v>
      </c>
      <c r="O341" s="316"/>
      <c r="P341" s="34"/>
      <c r="Q341" s="34"/>
      <c r="R341" s="316" t="str">
        <f>IF(ISBLANK('(3) Variantenbewertung'!$O$11),"",'(3) Variantenbewertung'!$O$11)</f>
        <v>V3</v>
      </c>
      <c r="S341" s="316"/>
      <c r="T341" s="81"/>
      <c r="U341" s="34"/>
      <c r="V341" s="316" t="str">
        <f>IF(ISBLANK('(3) Variantenbewertung'!$R$11),"",'(3) Variantenbewertung'!$R$11)</f>
        <v/>
      </c>
      <c r="W341" s="316"/>
      <c r="X341" s="34"/>
      <c r="Y341" s="34"/>
      <c r="Z341" s="316" t="str">
        <f>IF(ISBLANK('(3) Variantenbewertung'!$U$11),"",'(3) Variantenbewertung'!$U$11)</f>
        <v/>
      </c>
      <c r="AA341" s="316"/>
      <c r="AB341" s="34"/>
      <c r="AD341" s="51"/>
      <c r="AO341" s="7"/>
    </row>
    <row r="342" spans="3:41" s="5" customFormat="1" ht="15" customHeight="1" x14ac:dyDescent="0.25">
      <c r="F342" s="29"/>
      <c r="G342" s="29"/>
      <c r="H342" s="29"/>
      <c r="I342" s="29"/>
      <c r="J342" s="132" t="s">
        <v>221</v>
      </c>
      <c r="K342" s="133" t="s">
        <v>222</v>
      </c>
      <c r="L342" s="82"/>
      <c r="M342" s="24"/>
      <c r="N342" s="132" t="s">
        <v>221</v>
      </c>
      <c r="O342" s="133" t="s">
        <v>222</v>
      </c>
      <c r="P342" s="82"/>
      <c r="Q342" s="24"/>
      <c r="R342" s="132" t="s">
        <v>221</v>
      </c>
      <c r="S342" s="133" t="s">
        <v>222</v>
      </c>
      <c r="T342" s="82"/>
      <c r="U342" s="24"/>
      <c r="V342" s="132" t="s">
        <v>221</v>
      </c>
      <c r="W342" s="133" t="s">
        <v>222</v>
      </c>
      <c r="X342" s="82"/>
      <c r="Y342" s="24"/>
      <c r="Z342" s="132" t="s">
        <v>221</v>
      </c>
      <c r="AA342" s="133" t="s">
        <v>222</v>
      </c>
      <c r="AB342" s="24"/>
      <c r="AD342" s="51"/>
      <c r="AO342" s="7"/>
    </row>
    <row r="343" spans="3:41" s="5" customFormat="1" ht="15" customHeight="1" x14ac:dyDescent="0.25">
      <c r="F343" s="328" t="s">
        <v>371</v>
      </c>
      <c r="G343" s="328"/>
      <c r="H343" s="21"/>
      <c r="I343" s="29"/>
      <c r="J343" s="40" t="str">
        <f>IF(NOT(OR(COUNTIF(J306:J335,"FEHLER")&gt;=1,COUNTIF(J306:J335,"WERT?")&gt;=1)),IF(COUNTIF(J306:J335,"schlecht")&gt;=1,"schlecht",IF(COUNTIF(J306:J335,"mässig")&gt;=1,"mässig","gut")),"FEHLER")</f>
        <v>mässig</v>
      </c>
      <c r="K343" s="40" t="str">
        <f>IF(J343="FEHLER","FEHLER",IF(COUNTIF(K306:K335,"schlecht*")&gt;=1,"schlecht",IF(COUNTIF(K306:K335,"mässig*")&gt;=1,"mässig",IF(COUNTIF(K306:K335,"gut*")&gt;=1,"gut",J343))))</f>
        <v>mässig</v>
      </c>
      <c r="L343" s="34"/>
      <c r="M343" s="34"/>
      <c r="N343" s="40" t="str">
        <f>IF(NOT(OR(COUNTIF(N306:N335,"FEHLER")&gt;=1,COUNTIF(N306:N335,"WERT?")&gt;=1)),IF(COUNTIF(N306:N335,"schlecht")&gt;=1,"schlecht",IF(COUNTIF(N306:N335,"mässig")&gt;=1,"mässig","gut")),"FEHLER")</f>
        <v>mässig</v>
      </c>
      <c r="O343" s="40" t="str">
        <f>IF(N343="FEHLER","FEHLER",IF(COUNTIF(O306:O335,"schlecht*")&gt;=1,"schlecht",IF(COUNTIF(O306:O335,"mässig*")&gt;=1,"mässig",IF(COUNTIF(O306:O335,"gut*")&gt;=1,"gut",N343))))</f>
        <v>mässig</v>
      </c>
      <c r="P343" s="34"/>
      <c r="Q343" s="34"/>
      <c r="R343" s="40" t="str">
        <f>IF(NOT(OR(COUNTIF(R306:R335,"FEHLER")&gt;=1,COUNTIF(R306:R335,"WERT?")&gt;=1)),IF(COUNTIF(R306:R335,"schlecht")&gt;=1,"schlecht",IF(COUNTIF(R306:R335,"mässig")&gt;=1,"mässig","gut")),"FEHLER")</f>
        <v>gut</v>
      </c>
      <c r="S343" s="40" t="str">
        <f>IF(R343="FEHLER","FEHLER",IF(COUNTIF(S306:S335,"schlecht*")&gt;=1,"schlecht",IF(COUNTIF(S306:S335,"mässig*")&gt;=1,"mässig",IF(COUNTIF(S306:S335,"gut*")&gt;=1,"gut",R343))))</f>
        <v>gut</v>
      </c>
      <c r="T343" s="34"/>
      <c r="U343" s="34"/>
      <c r="V343" s="40" t="str">
        <f>IF(NOT(OR(COUNTIF(V306:V335,"FEHLER")&gt;=1,COUNTIF(V306:V335,"WERT?")&gt;=1)),IF(COUNTIF(V306:V335,"schlecht")&gt;=1,"schlecht",IF(COUNTIF(V306:V335,"mässig")&gt;=1,"mässig","gut")),"FEHLER")</f>
        <v>FEHLER</v>
      </c>
      <c r="W343" s="40" t="str">
        <f>IF(V343="FEHLER","FEHLER",IF(COUNTIF(W306:W335,"schlecht*")&gt;=1,"schlecht",IF(COUNTIF(W306:W335,"mässig*")&gt;=1,"mässig",IF(COUNTIF(W306:W335,"gut*")&gt;=1,"gut",V343))))</f>
        <v>FEHLER</v>
      </c>
      <c r="X343" s="34"/>
      <c r="Y343" s="34"/>
      <c r="Z343" s="40" t="str">
        <f>IF(NOT(OR(COUNTIF(Z306:Z335,"FEHLER")&gt;=1,COUNTIF(Z306:Z335,"WERT?")&gt;=1)),IF(COUNTIF(Z306:Z335,"schlecht")&gt;=1,"schlecht",IF(COUNTIF(Z306:Z335,"mässig")&gt;=1,"mässig","gut")),"FEHLER")</f>
        <v>FEHLER</v>
      </c>
      <c r="AA343" s="40" t="str">
        <f>IF(Z343="FEHLER","FEHLER",IF(COUNTIF(AA306:AA335,"schlecht*")&gt;=1,"schlecht",IF(COUNTIF(AA306:AA335,"mässig*")&gt;=1,"mässig",IF(COUNTIF(AA306:AA335,"gut*")&gt;=1,"gut",Z343))))</f>
        <v>FEHLER</v>
      </c>
      <c r="AB343" s="34"/>
      <c r="AD343" s="51"/>
      <c r="AO343" s="7"/>
    </row>
    <row r="344" spans="3:41" s="5" customFormat="1" ht="15" customHeight="1" x14ac:dyDescent="0.25">
      <c r="F344" s="327" t="s">
        <v>40</v>
      </c>
      <c r="G344" s="327"/>
      <c r="H344" s="183"/>
      <c r="I344" s="29"/>
      <c r="J344" s="40">
        <f>IF(J343="FEHLER","-",IF(J343="gut",3,IF(J343="mässig",2,1)))</f>
        <v>2</v>
      </c>
      <c r="K344" s="40">
        <f>IF(K343="FEHLER","-",IF(K343="gut",3,IF(K343="mässig",2,1)))</f>
        <v>2</v>
      </c>
      <c r="L344" s="34"/>
      <c r="M344" s="34"/>
      <c r="N344" s="40">
        <f>IF(N343="FEHLER","-",IF(N343="gut",3,IF(N343="mässig",2,1)))</f>
        <v>2</v>
      </c>
      <c r="O344" s="40">
        <f>IF(O343="FEHLER","-",IF(O343="gut",3,IF(O343="mässig",2,1)))</f>
        <v>2</v>
      </c>
      <c r="P344" s="34"/>
      <c r="Q344" s="34"/>
      <c r="R344" s="40">
        <f>IF(R343="FEHLER","-",IF(R343="gut",3,IF(R343="mässig",2,1)))</f>
        <v>3</v>
      </c>
      <c r="S344" s="40">
        <f>IF(S343="FEHLER","-",IF(S343="gut",3,IF(S343="mässig",2,1)))</f>
        <v>3</v>
      </c>
      <c r="T344" s="34"/>
      <c r="U344" s="34"/>
      <c r="V344" s="40" t="str">
        <f>IF(V343="FEHLER","-",IF(V343="gut",3,IF(V343="mässig",2,1)))</f>
        <v>-</v>
      </c>
      <c r="W344" s="40" t="str">
        <f>IF(W343="FEHLER","-",IF(W343="gut",3,IF(W343="mässig",2,1)))</f>
        <v>-</v>
      </c>
      <c r="X344" s="34"/>
      <c r="Y344" s="34"/>
      <c r="Z344" s="40" t="str">
        <f>IF(Z343="FEHLER","-",IF(Z343="gut",3,IF(Z343="mässig",2,1)))</f>
        <v>-</v>
      </c>
      <c r="AA344" s="40" t="str">
        <f>IF(AA343="FEHLER","-",IF(AA343="gut",3,IF(AA343="mässig",2,1)))</f>
        <v>-</v>
      </c>
      <c r="AB344" s="34"/>
      <c r="AD344" s="51"/>
      <c r="AO344" s="7"/>
    </row>
    <row r="345" spans="3:41" ht="15" customHeight="1" x14ac:dyDescent="0.25">
      <c r="F345" s="167"/>
      <c r="G345" s="167"/>
      <c r="H345" s="167"/>
      <c r="I345" s="167"/>
      <c r="J345" s="168"/>
      <c r="K345" s="168"/>
      <c r="L345" s="168"/>
      <c r="M345" s="168"/>
      <c r="N345" s="168"/>
      <c r="O345" s="168"/>
      <c r="P345" s="168"/>
      <c r="Q345" s="168"/>
      <c r="R345" s="168"/>
      <c r="S345" s="168"/>
      <c r="T345" s="168"/>
      <c r="U345" s="168"/>
      <c r="V345" s="168"/>
      <c r="W345" s="168"/>
      <c r="X345" s="168"/>
      <c r="Y345" s="168"/>
      <c r="Z345" s="168"/>
      <c r="AA345" s="168"/>
      <c r="AB345" s="168"/>
    </row>
  </sheetData>
  <sheetProtection algorithmName="SHA-512" hashValue="OcHa1pRlBbiZQtIWjMEaEztuXzpN/TAjt8WyWWECvL5nD6jAUE+rWFdwT91eRgWw8GKPD1qn2fHio7Zx63Nzqw==" saltValue="dT9Rob9vgSAtl5xIu99eHQ==" spinCount="100000" sheet="1" objects="1" scenarios="1" formatRows="0"/>
  <mergeCells count="680">
    <mergeCell ref="J341:K341"/>
    <mergeCell ref="N341:O341"/>
    <mergeCell ref="R341:S341"/>
    <mergeCell ref="V341:W341"/>
    <mergeCell ref="Z341:AA341"/>
    <mergeCell ref="J318:K318"/>
    <mergeCell ref="N318:O318"/>
    <mergeCell ref="R318:S318"/>
    <mergeCell ref="V318:W318"/>
    <mergeCell ref="Z318:AA318"/>
    <mergeCell ref="J329:K329"/>
    <mergeCell ref="N329:O329"/>
    <mergeCell ref="R329:S329"/>
    <mergeCell ref="V329:W329"/>
    <mergeCell ref="Z329:AA329"/>
    <mergeCell ref="E312:F312"/>
    <mergeCell ref="E315:F315"/>
    <mergeCell ref="E311:F311"/>
    <mergeCell ref="E332:F332"/>
    <mergeCell ref="V307:W307"/>
    <mergeCell ref="E287:F287"/>
    <mergeCell ref="E288:F288"/>
    <mergeCell ref="C282:F282"/>
    <mergeCell ref="J283:K283"/>
    <mergeCell ref="N283:O283"/>
    <mergeCell ref="R283:S283"/>
    <mergeCell ref="V283:W283"/>
    <mergeCell ref="J307:K307"/>
    <mergeCell ref="J295:K295"/>
    <mergeCell ref="N295:O295"/>
    <mergeCell ref="V295:W295"/>
    <mergeCell ref="B303:AB303"/>
    <mergeCell ref="E286:F286"/>
    <mergeCell ref="K286:K288"/>
    <mergeCell ref="O286:O288"/>
    <mergeCell ref="S286:S288"/>
    <mergeCell ref="W286:W288"/>
    <mergeCell ref="AA286:AA288"/>
    <mergeCell ref="Z283:AA283"/>
    <mergeCell ref="V261:W261"/>
    <mergeCell ref="Z261:AA261"/>
    <mergeCell ref="V211:W211"/>
    <mergeCell ref="K214:K222"/>
    <mergeCell ref="N214:N216"/>
    <mergeCell ref="O214:O222"/>
    <mergeCell ref="R214:R216"/>
    <mergeCell ref="S214:S222"/>
    <mergeCell ref="V214:V216"/>
    <mergeCell ref="W214:W222"/>
    <mergeCell ref="V239:W239"/>
    <mergeCell ref="Z239:AA239"/>
    <mergeCell ref="AA170:AA172"/>
    <mergeCell ref="Z145:Z147"/>
    <mergeCell ref="AA145:AA147"/>
    <mergeCell ref="Z159:Z161"/>
    <mergeCell ref="Z156:Z158"/>
    <mergeCell ref="AA156:AA161"/>
    <mergeCell ref="Z153:AA153"/>
    <mergeCell ref="Z167:AA167"/>
    <mergeCell ref="R200:R202"/>
    <mergeCell ref="V200:V202"/>
    <mergeCell ref="R179:S179"/>
    <mergeCell ref="V179:W179"/>
    <mergeCell ref="V142:W142"/>
    <mergeCell ref="Z142:AA142"/>
    <mergeCell ref="W134:W136"/>
    <mergeCell ref="K134:K136"/>
    <mergeCell ref="N145:N147"/>
    <mergeCell ref="O145:O147"/>
    <mergeCell ref="R145:R147"/>
    <mergeCell ref="S145:S147"/>
    <mergeCell ref="V145:V147"/>
    <mergeCell ref="R9:S9"/>
    <mergeCell ref="N9:O9"/>
    <mergeCell ref="J9:K9"/>
    <mergeCell ref="J29:K29"/>
    <mergeCell ref="N29:O29"/>
    <mergeCell ref="R29:S29"/>
    <mergeCell ref="V29:W29"/>
    <mergeCell ref="B25:AB25"/>
    <mergeCell ref="E43:F43"/>
    <mergeCell ref="W42:W43"/>
    <mergeCell ref="AA42:AA43"/>
    <mergeCell ref="C28:F28"/>
    <mergeCell ref="K42:K43"/>
    <mergeCell ref="O42:O43"/>
    <mergeCell ref="S42:S43"/>
    <mergeCell ref="S32:S33"/>
    <mergeCell ref="O32:O33"/>
    <mergeCell ref="K32:K33"/>
    <mergeCell ref="Z29:AA29"/>
    <mergeCell ref="E31:F31"/>
    <mergeCell ref="E29:F30"/>
    <mergeCell ref="E39:F40"/>
    <mergeCell ref="A5:AB5"/>
    <mergeCell ref="A3:D3"/>
    <mergeCell ref="V49:W49"/>
    <mergeCell ref="Z49:AA49"/>
    <mergeCell ref="J71:K71"/>
    <mergeCell ref="N71:O71"/>
    <mergeCell ref="R71:S71"/>
    <mergeCell ref="V71:W71"/>
    <mergeCell ref="Z71:AA71"/>
    <mergeCell ref="E11:F11"/>
    <mergeCell ref="E14:F14"/>
    <mergeCell ref="E13:F13"/>
    <mergeCell ref="E12:F12"/>
    <mergeCell ref="A21:AB21"/>
    <mergeCell ref="J39:K39"/>
    <mergeCell ref="N39:O39"/>
    <mergeCell ref="R39:S39"/>
    <mergeCell ref="V39:W39"/>
    <mergeCell ref="Z39:AA39"/>
    <mergeCell ref="J49:K49"/>
    <mergeCell ref="N49:O49"/>
    <mergeCell ref="R49:S49"/>
    <mergeCell ref="Z9:AA9"/>
    <mergeCell ref="V9:W9"/>
    <mergeCell ref="AM33:AN33"/>
    <mergeCell ref="AM32:AN32"/>
    <mergeCell ref="V52:V54"/>
    <mergeCell ref="R52:R54"/>
    <mergeCell ref="N52:N54"/>
    <mergeCell ref="K52:K54"/>
    <mergeCell ref="S52:S54"/>
    <mergeCell ref="O52:O54"/>
    <mergeCell ref="AA52:AA54"/>
    <mergeCell ref="W52:W54"/>
    <mergeCell ref="AI42:AJ42"/>
    <mergeCell ref="AI43:AJ43"/>
    <mergeCell ref="AH39:AL39"/>
    <mergeCell ref="Z52:Z54"/>
    <mergeCell ref="AD44:AD45"/>
    <mergeCell ref="AM30:AN31"/>
    <mergeCell ref="AM29:AN29"/>
    <mergeCell ref="AL30:AL31"/>
    <mergeCell ref="AD29:AD30"/>
    <mergeCell ref="AD32:AD33"/>
    <mergeCell ref="AA32:AA33"/>
    <mergeCell ref="W32:W33"/>
    <mergeCell ref="AG63:AH63"/>
    <mergeCell ref="O101:O103"/>
    <mergeCell ref="AA101:AA103"/>
    <mergeCell ref="AM35:AN35"/>
    <mergeCell ref="AM34:AN34"/>
    <mergeCell ref="AI51:AL51"/>
    <mergeCell ref="AG54:AH54"/>
    <mergeCell ref="W63:W65"/>
    <mergeCell ref="AA63:AA65"/>
    <mergeCell ref="AI49:AL49"/>
    <mergeCell ref="AG53:AH53"/>
    <mergeCell ref="AG52:AH52"/>
    <mergeCell ref="R101:R103"/>
    <mergeCell ref="V101:V103"/>
    <mergeCell ref="W74:W79"/>
    <mergeCell ref="R77:R79"/>
    <mergeCell ref="AI59:AL59"/>
    <mergeCell ref="V131:W131"/>
    <mergeCell ref="Z131:AA131"/>
    <mergeCell ref="N123:N125"/>
    <mergeCell ref="R123:R125"/>
    <mergeCell ref="N74:N76"/>
    <mergeCell ref="O112:O114"/>
    <mergeCell ref="V74:V76"/>
    <mergeCell ref="R112:R114"/>
    <mergeCell ref="V112:V114"/>
    <mergeCell ref="S101:S103"/>
    <mergeCell ref="N86:O86"/>
    <mergeCell ref="V123:V125"/>
    <mergeCell ref="R98:S98"/>
    <mergeCell ref="V98:W98"/>
    <mergeCell ref="Z98:AA98"/>
    <mergeCell ref="AA74:AA79"/>
    <mergeCell ref="R74:R76"/>
    <mergeCell ref="Z86:AA86"/>
    <mergeCell ref="V86:W86"/>
    <mergeCell ref="S112:S114"/>
    <mergeCell ref="R109:S109"/>
    <mergeCell ref="AA123:AA125"/>
    <mergeCell ref="E102:F102"/>
    <mergeCell ref="E103:F103"/>
    <mergeCell ref="J112:J114"/>
    <mergeCell ref="N109:O109"/>
    <mergeCell ref="D109:G110"/>
    <mergeCell ref="D120:G121"/>
    <mergeCell ref="C119:F119"/>
    <mergeCell ref="O74:O79"/>
    <mergeCell ref="K74:K79"/>
    <mergeCell ref="N112:N114"/>
    <mergeCell ref="J98:K98"/>
    <mergeCell ref="N98:O98"/>
    <mergeCell ref="J101:J103"/>
    <mergeCell ref="N101:N103"/>
    <mergeCell ref="N77:N79"/>
    <mergeCell ref="E74:E76"/>
    <mergeCell ref="E77:E79"/>
    <mergeCell ref="J109:K109"/>
    <mergeCell ref="J86:K86"/>
    <mergeCell ref="K101:K103"/>
    <mergeCell ref="C48:F48"/>
    <mergeCell ref="E33:F33"/>
    <mergeCell ref="E32:F32"/>
    <mergeCell ref="E52:F52"/>
    <mergeCell ref="E123:F123"/>
    <mergeCell ref="E101:F101"/>
    <mergeCell ref="C108:F108"/>
    <mergeCell ref="C70:F70"/>
    <mergeCell ref="C97:F97"/>
    <mergeCell ref="D98:G99"/>
    <mergeCell ref="F88:G88"/>
    <mergeCell ref="D71:G72"/>
    <mergeCell ref="C59:F59"/>
    <mergeCell ref="E63:F63"/>
    <mergeCell ref="D49:G50"/>
    <mergeCell ref="C38:F38"/>
    <mergeCell ref="E42:F42"/>
    <mergeCell ref="B94:AB94"/>
    <mergeCell ref="W101:W103"/>
    <mergeCell ref="K112:K114"/>
    <mergeCell ref="V109:W109"/>
    <mergeCell ref="Z109:AA109"/>
    <mergeCell ref="Z101:Z103"/>
    <mergeCell ref="R86:S86"/>
    <mergeCell ref="AK231:AL231"/>
    <mergeCell ref="AG230:AH230"/>
    <mergeCell ref="AG231:AH231"/>
    <mergeCell ref="AK230:AL230"/>
    <mergeCell ref="AI230:AJ230"/>
    <mergeCell ref="Z231:Z233"/>
    <mergeCell ref="AH209:AL209"/>
    <mergeCell ref="Z211:AA211"/>
    <mergeCell ref="AH211:AL211"/>
    <mergeCell ref="AI212:AL212"/>
    <mergeCell ref="Z214:Z216"/>
    <mergeCell ref="Z220:Z222"/>
    <mergeCell ref="AI192:AL192"/>
    <mergeCell ref="AH197:AH199"/>
    <mergeCell ref="AH200:AH202"/>
    <mergeCell ref="AH203:AH205"/>
    <mergeCell ref="Z203:Z205"/>
    <mergeCell ref="Z197:Z199"/>
    <mergeCell ref="AH194:AH196"/>
    <mergeCell ref="Z194:Z196"/>
    <mergeCell ref="Z191:AA191"/>
    <mergeCell ref="J60:K60"/>
    <mergeCell ref="N60:O60"/>
    <mergeCell ref="R60:S60"/>
    <mergeCell ref="V60:W60"/>
    <mergeCell ref="Z60:AA60"/>
    <mergeCell ref="K63:K65"/>
    <mergeCell ref="O63:O65"/>
    <mergeCell ref="S63:S65"/>
    <mergeCell ref="J77:J79"/>
    <mergeCell ref="J74:J76"/>
    <mergeCell ref="S74:S79"/>
    <mergeCell ref="Z77:Z79"/>
    <mergeCell ref="Z74:Z76"/>
    <mergeCell ref="V77:V79"/>
    <mergeCell ref="AI153:AI154"/>
    <mergeCell ref="AJ153:AL153"/>
    <mergeCell ref="AG155:AH155"/>
    <mergeCell ref="AH159:AH161"/>
    <mergeCell ref="AK30:AK31"/>
    <mergeCell ref="AJ30:AJ31"/>
    <mergeCell ref="AG43:AH43"/>
    <mergeCell ref="AG42:AH42"/>
    <mergeCell ref="AG33:AH33"/>
    <mergeCell ref="AK43:AL43"/>
    <mergeCell ref="AK42:AL42"/>
    <mergeCell ref="AI41:AJ41"/>
    <mergeCell ref="AK41:AL41"/>
    <mergeCell ref="AI30:AI31"/>
    <mergeCell ref="AH156:AH158"/>
    <mergeCell ref="AI120:AI121"/>
    <mergeCell ref="AJ120:AL120"/>
    <mergeCell ref="AH130:AL130"/>
    <mergeCell ref="AI131:AI132"/>
    <mergeCell ref="AJ131:AL131"/>
    <mergeCell ref="AG136:AH136"/>
    <mergeCell ref="AG135:AH135"/>
    <mergeCell ref="AG134:AH134"/>
    <mergeCell ref="AG133:AH133"/>
    <mergeCell ref="F343:G343"/>
    <mergeCell ref="F344:G344"/>
    <mergeCell ref="F181:G181"/>
    <mergeCell ref="F182:G182"/>
    <mergeCell ref="AA194:AA205"/>
    <mergeCell ref="AA310:AA312"/>
    <mergeCell ref="W310:W312"/>
    <mergeCell ref="S310:S312"/>
    <mergeCell ref="O310:O312"/>
    <mergeCell ref="K310:K312"/>
    <mergeCell ref="W194:W205"/>
    <mergeCell ref="S194:S205"/>
    <mergeCell ref="O194:O205"/>
    <mergeCell ref="K194:K205"/>
    <mergeCell ref="C317:F317"/>
    <mergeCell ref="E322:F322"/>
    <mergeCell ref="E323:F323"/>
    <mergeCell ref="AA242:AA244"/>
    <mergeCell ref="W242:W244"/>
    <mergeCell ref="S242:S244"/>
    <mergeCell ref="O242:O244"/>
    <mergeCell ref="K242:K244"/>
    <mergeCell ref="N307:O307"/>
    <mergeCell ref="R307:S307"/>
    <mergeCell ref="AD135:AD136"/>
    <mergeCell ref="AD113:AD114"/>
    <mergeCell ref="J120:K120"/>
    <mergeCell ref="N120:O120"/>
    <mergeCell ref="R120:S120"/>
    <mergeCell ref="V120:W120"/>
    <mergeCell ref="J131:K131"/>
    <mergeCell ref="N131:O131"/>
    <mergeCell ref="AA112:AA114"/>
    <mergeCell ref="AA134:AA136"/>
    <mergeCell ref="AD115:AD134"/>
    <mergeCell ref="Z120:AA120"/>
    <mergeCell ref="Z112:Z114"/>
    <mergeCell ref="Z123:Z125"/>
    <mergeCell ref="K123:K125"/>
    <mergeCell ref="O123:O125"/>
    <mergeCell ref="S123:S125"/>
    <mergeCell ref="W123:W125"/>
    <mergeCell ref="J134:J136"/>
    <mergeCell ref="O134:O136"/>
    <mergeCell ref="S134:S136"/>
    <mergeCell ref="W112:W114"/>
    <mergeCell ref="J123:J125"/>
    <mergeCell ref="R131:S131"/>
    <mergeCell ref="E135:F135"/>
    <mergeCell ref="E136:F136"/>
    <mergeCell ref="J203:J205"/>
    <mergeCell ref="N203:N205"/>
    <mergeCell ref="R203:R205"/>
    <mergeCell ref="V203:V205"/>
    <mergeCell ref="J197:J199"/>
    <mergeCell ref="N197:N199"/>
    <mergeCell ref="R197:R199"/>
    <mergeCell ref="O170:O172"/>
    <mergeCell ref="V167:W167"/>
    <mergeCell ref="C152:F152"/>
    <mergeCell ref="J153:K153"/>
    <mergeCell ref="N153:O153"/>
    <mergeCell ref="R153:S153"/>
    <mergeCell ref="V156:V158"/>
    <mergeCell ref="W156:W161"/>
    <mergeCell ref="V153:W153"/>
    <mergeCell ref="J194:J196"/>
    <mergeCell ref="N194:N196"/>
    <mergeCell ref="J191:K191"/>
    <mergeCell ref="J200:J202"/>
    <mergeCell ref="N142:O142"/>
    <mergeCell ref="R142:S142"/>
    <mergeCell ref="Z307:AA307"/>
    <mergeCell ref="D167:G168"/>
    <mergeCell ref="S170:S172"/>
    <mergeCell ref="W170:W172"/>
    <mergeCell ref="D131:G132"/>
    <mergeCell ref="C130:G130"/>
    <mergeCell ref="E125:F125"/>
    <mergeCell ref="E203:E205"/>
    <mergeCell ref="E275:F275"/>
    <mergeCell ref="K275:K277"/>
    <mergeCell ref="C271:F271"/>
    <mergeCell ref="O275:O277"/>
    <mergeCell ref="S275:S277"/>
    <mergeCell ref="W275:W277"/>
    <mergeCell ref="AA275:AA277"/>
    <mergeCell ref="E276:F276"/>
    <mergeCell ref="E277:F277"/>
    <mergeCell ref="AA231:AA233"/>
    <mergeCell ref="R250:S250"/>
    <mergeCell ref="V250:W250"/>
    <mergeCell ref="D239:G240"/>
    <mergeCell ref="J239:K239"/>
    <mergeCell ref="N239:O239"/>
    <mergeCell ref="R239:S239"/>
    <mergeCell ref="AG321:AH321"/>
    <mergeCell ref="AI321:AL321"/>
    <mergeCell ref="K321:K323"/>
    <mergeCell ref="O321:O323"/>
    <mergeCell ref="S321:S323"/>
    <mergeCell ref="W321:W323"/>
    <mergeCell ref="AI323:AL323"/>
    <mergeCell ref="C306:F306"/>
    <mergeCell ref="AG122:AH122"/>
    <mergeCell ref="AD191:AD226"/>
    <mergeCell ref="AD189:AD190"/>
    <mergeCell ref="AD227:AD228"/>
    <mergeCell ref="C238:G238"/>
    <mergeCell ref="J242:J244"/>
    <mergeCell ref="N242:N244"/>
    <mergeCell ref="R242:R244"/>
    <mergeCell ref="V242:V244"/>
    <mergeCell ref="Z242:Z244"/>
    <mergeCell ref="E253:F253"/>
    <mergeCell ref="Z295:AA295"/>
    <mergeCell ref="F297:G297"/>
    <mergeCell ref="F298:G298"/>
    <mergeCell ref="AD298:AD307"/>
    <mergeCell ref="R295:S295"/>
    <mergeCell ref="AI308:AL308"/>
    <mergeCell ref="AG311:AH311"/>
    <mergeCell ref="AI311:AL311"/>
    <mergeCell ref="AG312:AH312"/>
    <mergeCell ref="AI312:AL312"/>
    <mergeCell ref="AD308:AD310"/>
    <mergeCell ref="AG266:AH266"/>
    <mergeCell ref="AI266:AL266"/>
    <mergeCell ref="AH305:AL305"/>
    <mergeCell ref="AI284:AL284"/>
    <mergeCell ref="AG286:AH286"/>
    <mergeCell ref="AH299:AL299"/>
    <mergeCell ref="AD296:AD297"/>
    <mergeCell ref="AI286:AL286"/>
    <mergeCell ref="AI282:AL282"/>
    <mergeCell ref="AI273:AL273"/>
    <mergeCell ref="AI288:AL288"/>
    <mergeCell ref="AG288:AH288"/>
    <mergeCell ref="AI287:AL287"/>
    <mergeCell ref="AG287:AH287"/>
    <mergeCell ref="AI277:AL277"/>
    <mergeCell ref="AG277:AH277"/>
    <mergeCell ref="AI276:AL276"/>
    <mergeCell ref="AG276:AH276"/>
    <mergeCell ref="AI317:AL317"/>
    <mergeCell ref="AI319:AL319"/>
    <mergeCell ref="E171:F171"/>
    <mergeCell ref="E172:F172"/>
    <mergeCell ref="C166:F166"/>
    <mergeCell ref="AI166:AL166"/>
    <mergeCell ref="AI168:AL168"/>
    <mergeCell ref="AG171:AH171"/>
    <mergeCell ref="AI171:AL171"/>
    <mergeCell ref="AG172:AH172"/>
    <mergeCell ref="AI172:AL172"/>
    <mergeCell ref="O264:O266"/>
    <mergeCell ref="S264:S266"/>
    <mergeCell ref="W264:W266"/>
    <mergeCell ref="AA264:AA266"/>
    <mergeCell ref="E265:F265"/>
    <mergeCell ref="AI306:AL306"/>
    <mergeCell ref="AG265:AH265"/>
    <mergeCell ref="AG253:AH253"/>
    <mergeCell ref="AI253:AL253"/>
    <mergeCell ref="AG264:AH264"/>
    <mergeCell ref="AI264:AL264"/>
    <mergeCell ref="E264:F264"/>
    <mergeCell ref="C190:I190"/>
    <mergeCell ref="E53:F53"/>
    <mergeCell ref="E54:F54"/>
    <mergeCell ref="F89:G89"/>
    <mergeCell ref="O231:O233"/>
    <mergeCell ref="D228:G229"/>
    <mergeCell ref="E194:E196"/>
    <mergeCell ref="E112:F112"/>
    <mergeCell ref="E113:F113"/>
    <mergeCell ref="E114:F114"/>
    <mergeCell ref="E145:F145"/>
    <mergeCell ref="J145:J147"/>
    <mergeCell ref="K145:K147"/>
    <mergeCell ref="E232:F232"/>
    <mergeCell ref="E233:F233"/>
    <mergeCell ref="C227:F227"/>
    <mergeCell ref="E231:F231"/>
    <mergeCell ref="J231:J233"/>
    <mergeCell ref="N231:N233"/>
    <mergeCell ref="K231:K233"/>
    <mergeCell ref="E134:F134"/>
    <mergeCell ref="E124:F124"/>
    <mergeCell ref="J52:J54"/>
    <mergeCell ref="N200:N202"/>
    <mergeCell ref="K170:K172"/>
    <mergeCell ref="AG332:AH332"/>
    <mergeCell ref="AI332:AL332"/>
    <mergeCell ref="E310:F310"/>
    <mergeCell ref="AI310:AL310"/>
    <mergeCell ref="AG310:AH310"/>
    <mergeCell ref="K332:K334"/>
    <mergeCell ref="O332:O334"/>
    <mergeCell ref="S332:S334"/>
    <mergeCell ref="W332:W334"/>
    <mergeCell ref="AA332:AA334"/>
    <mergeCell ref="AI330:AL330"/>
    <mergeCell ref="AG333:AH333"/>
    <mergeCell ref="AI333:AL333"/>
    <mergeCell ref="AG334:AH334"/>
    <mergeCell ref="AI334:AL334"/>
    <mergeCell ref="AG322:AH322"/>
    <mergeCell ref="AI322:AL322"/>
    <mergeCell ref="AG323:AH323"/>
    <mergeCell ref="AI328:AL328"/>
    <mergeCell ref="C328:F328"/>
    <mergeCell ref="E333:F333"/>
    <mergeCell ref="AA321:AA323"/>
    <mergeCell ref="E321:F321"/>
    <mergeCell ref="E334:F334"/>
    <mergeCell ref="C260:F260"/>
    <mergeCell ref="K264:K266"/>
    <mergeCell ref="O253:O255"/>
    <mergeCell ref="S253:S255"/>
    <mergeCell ref="E266:F266"/>
    <mergeCell ref="D261:F261"/>
    <mergeCell ref="C249:F249"/>
    <mergeCell ref="K253:K255"/>
    <mergeCell ref="D250:F250"/>
    <mergeCell ref="E255:F255"/>
    <mergeCell ref="E254:F254"/>
    <mergeCell ref="J250:K250"/>
    <mergeCell ref="N250:O250"/>
    <mergeCell ref="J261:K261"/>
    <mergeCell ref="N261:O261"/>
    <mergeCell ref="R261:S261"/>
    <mergeCell ref="Z179:AA179"/>
    <mergeCell ref="AI249:AL249"/>
    <mergeCell ref="AI251:AL251"/>
    <mergeCell ref="AG254:AH254"/>
    <mergeCell ref="AI254:AL254"/>
    <mergeCell ref="J272:K272"/>
    <mergeCell ref="N272:O272"/>
    <mergeCell ref="R272:S272"/>
    <mergeCell ref="V272:W272"/>
    <mergeCell ref="Z272:AA272"/>
    <mergeCell ref="W253:W255"/>
    <mergeCell ref="AI271:AL271"/>
    <mergeCell ref="AK232:AL232"/>
    <mergeCell ref="AI233:AJ233"/>
    <mergeCell ref="AI232:AJ232"/>
    <mergeCell ref="AA253:AA255"/>
    <mergeCell ref="Z250:AA250"/>
    <mergeCell ref="AG232:AH232"/>
    <mergeCell ref="AG233:AH233"/>
    <mergeCell ref="AG244:AH244"/>
    <mergeCell ref="AG245:AH245"/>
    <mergeCell ref="AH228:AL228"/>
    <mergeCell ref="AI231:AJ231"/>
    <mergeCell ref="AH191:AL191"/>
    <mergeCell ref="Z228:AA228"/>
    <mergeCell ref="B187:AB187"/>
    <mergeCell ref="D191:G192"/>
    <mergeCell ref="R191:S191"/>
    <mergeCell ref="V191:W191"/>
    <mergeCell ref="AG246:AH246"/>
    <mergeCell ref="R231:R233"/>
    <mergeCell ref="V231:V233"/>
    <mergeCell ref="Z200:Z202"/>
    <mergeCell ref="R194:R196"/>
    <mergeCell ref="V194:V196"/>
    <mergeCell ref="S231:S233"/>
    <mergeCell ref="W231:W233"/>
    <mergeCell ref="E243:F243"/>
    <mergeCell ref="E244:F244"/>
    <mergeCell ref="N220:N222"/>
    <mergeCell ref="R220:R222"/>
    <mergeCell ref="V220:V222"/>
    <mergeCell ref="E242:F242"/>
    <mergeCell ref="E170:F170"/>
    <mergeCell ref="J228:K228"/>
    <mergeCell ref="N228:O228"/>
    <mergeCell ref="R228:S228"/>
    <mergeCell ref="D211:G212"/>
    <mergeCell ref="J211:K211"/>
    <mergeCell ref="N211:O211"/>
    <mergeCell ref="R211:S211"/>
    <mergeCell ref="E214:E216"/>
    <mergeCell ref="J214:J216"/>
    <mergeCell ref="E220:E222"/>
    <mergeCell ref="J220:J222"/>
    <mergeCell ref="N191:O191"/>
    <mergeCell ref="V197:V199"/>
    <mergeCell ref="V228:W228"/>
    <mergeCell ref="D153:G154"/>
    <mergeCell ref="E156:E158"/>
    <mergeCell ref="J156:J158"/>
    <mergeCell ref="K156:K161"/>
    <mergeCell ref="N156:N158"/>
    <mergeCell ref="O156:O161"/>
    <mergeCell ref="R156:R158"/>
    <mergeCell ref="S156:S161"/>
    <mergeCell ref="C210:I210"/>
    <mergeCell ref="J167:K167"/>
    <mergeCell ref="N167:O167"/>
    <mergeCell ref="J179:K179"/>
    <mergeCell ref="N179:O179"/>
    <mergeCell ref="E197:E199"/>
    <mergeCell ref="E200:E202"/>
    <mergeCell ref="E64:F64"/>
    <mergeCell ref="AG64:AH64"/>
    <mergeCell ref="AI64:AL64"/>
    <mergeCell ref="E65:F65"/>
    <mergeCell ref="AG65:AH65"/>
    <mergeCell ref="AI65:AL65"/>
    <mergeCell ref="AG147:AH147"/>
    <mergeCell ref="W145:W147"/>
    <mergeCell ref="AH177:AL177"/>
    <mergeCell ref="N134:N136"/>
    <mergeCell ref="R134:R136"/>
    <mergeCell ref="V134:V136"/>
    <mergeCell ref="Z134:Z136"/>
    <mergeCell ref="C141:F141"/>
    <mergeCell ref="D142:G143"/>
    <mergeCell ref="J142:K142"/>
    <mergeCell ref="E159:E161"/>
    <mergeCell ref="J159:J161"/>
    <mergeCell ref="N159:N161"/>
    <mergeCell ref="R159:R161"/>
    <mergeCell ref="V159:V161"/>
    <mergeCell ref="E146:F146"/>
    <mergeCell ref="E147:F147"/>
    <mergeCell ref="R167:S167"/>
    <mergeCell ref="AO213:AP213"/>
    <mergeCell ref="AO219:AP219"/>
    <mergeCell ref="AH214:AH216"/>
    <mergeCell ref="E217:E219"/>
    <mergeCell ref="J217:J219"/>
    <mergeCell ref="N217:N219"/>
    <mergeCell ref="R217:R219"/>
    <mergeCell ref="V217:V219"/>
    <mergeCell ref="Z217:Z219"/>
    <mergeCell ref="AH217:AH219"/>
    <mergeCell ref="AA214:AA222"/>
    <mergeCell ref="AI275:AL275"/>
    <mergeCell ref="AG275:AH275"/>
    <mergeCell ref="AI262:AL262"/>
    <mergeCell ref="AI260:AL260"/>
    <mergeCell ref="AI255:AL255"/>
    <mergeCell ref="AG255:AH255"/>
    <mergeCell ref="AG123:AH123"/>
    <mergeCell ref="AG124:AH124"/>
    <mergeCell ref="AG125:AH125"/>
    <mergeCell ref="AH187:AL187"/>
    <mergeCell ref="AH189:AL189"/>
    <mergeCell ref="AG239:AH239"/>
    <mergeCell ref="AG240:AH240"/>
    <mergeCell ref="AG241:AH241"/>
    <mergeCell ref="AI265:AL265"/>
    <mergeCell ref="AG170:AH170"/>
    <mergeCell ref="AI170:AL170"/>
    <mergeCell ref="AI142:AI143"/>
    <mergeCell ref="AJ142:AL142"/>
    <mergeCell ref="AG144:AH144"/>
    <mergeCell ref="AG145:AH145"/>
    <mergeCell ref="AG146:AH146"/>
    <mergeCell ref="AH220:AH222"/>
    <mergeCell ref="AK233:AL233"/>
    <mergeCell ref="AH119:AL119"/>
    <mergeCell ref="AG114:AH114"/>
    <mergeCell ref="AG111:AH111"/>
    <mergeCell ref="AG113:AH113"/>
    <mergeCell ref="AG112:AH112"/>
    <mergeCell ref="AJ109:AL109"/>
    <mergeCell ref="AI109:AI110"/>
    <mergeCell ref="AH108:AL108"/>
    <mergeCell ref="AG101:AH101"/>
    <mergeCell ref="AG102:AH102"/>
    <mergeCell ref="AG103:AH103"/>
    <mergeCell ref="AG100:AH100"/>
    <mergeCell ref="AJ98:AL98"/>
    <mergeCell ref="AI98:AI99"/>
    <mergeCell ref="AD80:AD82"/>
    <mergeCell ref="AG74:AH74"/>
    <mergeCell ref="AG75:AH75"/>
    <mergeCell ref="AG76:AH76"/>
    <mergeCell ref="AK76:AL76"/>
    <mergeCell ref="AI76:AJ76"/>
    <mergeCell ref="AI74:AJ74"/>
    <mergeCell ref="AI75:AJ75"/>
    <mergeCell ref="AK74:AL74"/>
    <mergeCell ref="AK75:AL75"/>
    <mergeCell ref="AK73:AL73"/>
    <mergeCell ref="AI73:AJ73"/>
    <mergeCell ref="AH72:AL72"/>
    <mergeCell ref="AI61:AL61"/>
    <mergeCell ref="AI54:AL54"/>
    <mergeCell ref="AI52:AL52"/>
    <mergeCell ref="AI53:AL53"/>
    <mergeCell ref="AH48:AL48"/>
    <mergeCell ref="AD46:AD76"/>
    <mergeCell ref="AI63:AL63"/>
  </mergeCells>
  <phoneticPr fontId="1" type="noConversion"/>
  <conditionalFormatting sqref="H10:H13 G11:H14">
    <cfRule type="cellIs" dxfId="1740" priority="847" operator="equal">
      <formula>"mässig"</formula>
    </cfRule>
    <cfRule type="cellIs" dxfId="1739" priority="849" operator="equal">
      <formula>"schlecht"</formula>
    </cfRule>
    <cfRule type="cellIs" dxfId="1738" priority="848" operator="equal">
      <formula>"gut"</formula>
    </cfRule>
  </conditionalFormatting>
  <conditionalFormatting sqref="I191:K206">
    <cfRule type="expression" dxfId="1735" priority="341">
      <formula>$I$194="DEAKTIVIERT"</formula>
    </cfRule>
  </conditionalFormatting>
  <conditionalFormatting sqref="I211:K223">
    <cfRule type="expression" dxfId="1733" priority="350">
      <formula>$I$214="DEAKTIVIERT"</formula>
    </cfRule>
  </conditionalFormatting>
  <conditionalFormatting sqref="J87">
    <cfRule type="cellIs" dxfId="1732" priority="1980" operator="equal">
      <formula>"gut"</formula>
    </cfRule>
    <cfRule type="cellIs" dxfId="1731" priority="1979" operator="equal">
      <formula>"mässig"</formula>
    </cfRule>
    <cfRule type="cellIs" dxfId="1730" priority="1981" operator="equal">
      <formula>"schlecht"</formula>
    </cfRule>
  </conditionalFormatting>
  <conditionalFormatting sqref="J180">
    <cfRule type="cellIs" dxfId="1728" priority="1769" operator="equal">
      <formula>"mässig"</formula>
    </cfRule>
    <cfRule type="cellIs" dxfId="1727" priority="1771" operator="equal">
      <formula>"schlecht"</formula>
    </cfRule>
    <cfRule type="cellIs" dxfId="1726" priority="1770" operator="equal">
      <formula>"gut"</formula>
    </cfRule>
  </conditionalFormatting>
  <conditionalFormatting sqref="J296:J297">
    <cfRule type="cellIs" dxfId="1725" priority="1583" operator="equal">
      <formula>"mässig"</formula>
    </cfRule>
    <cfRule type="cellIs" dxfId="1724" priority="1584" operator="equal">
      <formula>"gut"</formula>
    </cfRule>
    <cfRule type="cellIs" dxfId="1723" priority="1585" operator="equal">
      <formula>"schlecht"</formula>
    </cfRule>
  </conditionalFormatting>
  <conditionalFormatting sqref="J342">
    <cfRule type="cellIs" dxfId="1722" priority="1433" operator="equal">
      <formula>"mässig"</formula>
    </cfRule>
    <cfRule type="cellIs" dxfId="1721" priority="1435" operator="equal">
      <formula>"schlecht"</formula>
    </cfRule>
    <cfRule type="cellIs" dxfId="1720" priority="1434" operator="equal">
      <formula>"gut"</formula>
    </cfRule>
  </conditionalFormatting>
  <conditionalFormatting sqref="J10:K10">
    <cfRule type="cellIs" dxfId="1719" priority="2909" operator="equal">
      <formula>"mässig"</formula>
    </cfRule>
    <cfRule type="cellIs" dxfId="1718" priority="2910" operator="equal">
      <formula>"gut"</formula>
    </cfRule>
    <cfRule type="cellIs" dxfId="1717" priority="2911" operator="equal">
      <formula>"schlecht"</formula>
    </cfRule>
  </conditionalFormatting>
  <conditionalFormatting sqref="J30:K30">
    <cfRule type="cellIs" dxfId="1716" priority="2096" operator="equal">
      <formula>"mässig"</formula>
    </cfRule>
    <cfRule type="cellIs" dxfId="1715" priority="2098" operator="equal">
      <formula>"schlecht"</formula>
    </cfRule>
    <cfRule type="cellIs" dxfId="1714" priority="2097" operator="equal">
      <formula>"gut"</formula>
    </cfRule>
  </conditionalFormatting>
  <conditionalFormatting sqref="J40:K40">
    <cfRule type="cellIs" dxfId="1713" priority="2068" operator="equal">
      <formula>"schlecht"</formula>
    </cfRule>
    <cfRule type="cellIs" dxfId="1712" priority="2067" operator="equal">
      <formula>"gut"</formula>
    </cfRule>
    <cfRule type="cellIs" dxfId="1711" priority="2066" operator="equal">
      <formula>"mässig"</formula>
    </cfRule>
  </conditionalFormatting>
  <conditionalFormatting sqref="J50:K50">
    <cfRule type="cellIs" dxfId="1710" priority="2037" operator="equal">
      <formula>"gut"</formula>
    </cfRule>
    <cfRule type="cellIs" dxfId="1709" priority="2036" operator="equal">
      <formula>"mässig"</formula>
    </cfRule>
    <cfRule type="cellIs" dxfId="1708" priority="2038" operator="equal">
      <formula>"schlecht"</formula>
    </cfRule>
  </conditionalFormatting>
  <conditionalFormatting sqref="J61:K61">
    <cfRule type="cellIs" dxfId="1707" priority="837" operator="equal">
      <formula>"schlecht"</formula>
    </cfRule>
    <cfRule type="cellIs" dxfId="1706" priority="835" operator="equal">
      <formula>"mässig"</formula>
    </cfRule>
    <cfRule type="cellIs" dxfId="1705" priority="836" operator="equal">
      <formula>"gut"</formula>
    </cfRule>
  </conditionalFormatting>
  <conditionalFormatting sqref="J72:K72">
    <cfRule type="cellIs" dxfId="1704" priority="2006" operator="equal">
      <formula>"mässig"</formula>
    </cfRule>
    <cfRule type="cellIs" dxfId="1703" priority="2007" operator="equal">
      <formula>"gut"</formula>
    </cfRule>
    <cfRule type="cellIs" dxfId="1702" priority="2008" operator="equal">
      <formula>"schlecht"</formula>
    </cfRule>
  </conditionalFormatting>
  <conditionalFormatting sqref="J154:K154">
    <cfRule type="cellIs" dxfId="1701" priority="457" operator="equal">
      <formula>"schlecht"</formula>
    </cfRule>
    <cfRule type="cellIs" dxfId="1700" priority="456" operator="equal">
      <formula>"gut"</formula>
    </cfRule>
    <cfRule type="cellIs" dxfId="1699" priority="455" operator="equal">
      <formula>"mässig"</formula>
    </cfRule>
  </conditionalFormatting>
  <conditionalFormatting sqref="J88:L88">
    <cfRule type="cellIs" dxfId="1697" priority="5115" operator="equal">
      <formula>"gut"</formula>
    </cfRule>
    <cfRule type="cellIs" dxfId="1696" priority="5116" operator="equal">
      <formula>"mässig"</formula>
    </cfRule>
    <cfRule type="cellIs" dxfId="1695" priority="5114" operator="equal">
      <formula>"schlecht"</formula>
    </cfRule>
  </conditionalFormatting>
  <conditionalFormatting sqref="J89:L89">
    <cfRule type="cellIs" dxfId="1694" priority="5042" operator="equal">
      <formula>2</formula>
    </cfRule>
    <cfRule type="cellIs" dxfId="1693" priority="5044" operator="equal">
      <formula>1</formula>
    </cfRule>
    <cfRule type="cellIs" dxfId="1692" priority="5043" operator="equal">
      <formula>3</formula>
    </cfRule>
  </conditionalFormatting>
  <conditionalFormatting sqref="J181:L181">
    <cfRule type="cellIs" dxfId="1691" priority="5484" operator="equal">
      <formula>"gut"</formula>
    </cfRule>
    <cfRule type="cellIs" dxfId="1690" priority="5483" operator="equal">
      <formula>"schlecht"</formula>
    </cfRule>
    <cfRule type="cellIs" dxfId="1689" priority="5485" operator="equal">
      <formula>"mässig"</formula>
    </cfRule>
  </conditionalFormatting>
  <conditionalFormatting sqref="J182:L182">
    <cfRule type="cellIs" dxfId="1688" priority="5386" operator="equal">
      <formula>1</formula>
    </cfRule>
    <cfRule type="cellIs" dxfId="1687" priority="5384" operator="equal">
      <formula>2</formula>
    </cfRule>
    <cfRule type="cellIs" dxfId="1686" priority="5385" operator="equal">
      <formula>3</formula>
    </cfRule>
  </conditionalFormatting>
  <conditionalFormatting sqref="J298:L298">
    <cfRule type="cellIs" dxfId="1685" priority="5297" operator="equal">
      <formula>2</formula>
    </cfRule>
    <cfRule type="cellIs" dxfId="1684" priority="5298" operator="equal">
      <formula>3</formula>
    </cfRule>
    <cfRule type="cellIs" dxfId="1683" priority="5299" operator="equal">
      <formula>1</formula>
    </cfRule>
  </conditionalFormatting>
  <conditionalFormatting sqref="J343:L343">
    <cfRule type="cellIs" dxfId="1682" priority="5255" operator="equal">
      <formula>"schlecht"</formula>
    </cfRule>
    <cfRule type="cellIs" dxfId="1681" priority="5256" operator="equal">
      <formula>"gut"</formula>
    </cfRule>
    <cfRule type="cellIs" dxfId="1680" priority="5257" operator="equal">
      <formula>"mässig"</formula>
    </cfRule>
  </conditionalFormatting>
  <conditionalFormatting sqref="J344:L344">
    <cfRule type="cellIs" dxfId="1679" priority="5184" operator="equal">
      <formula>3</formula>
    </cfRule>
    <cfRule type="cellIs" dxfId="1678" priority="5183" operator="equal">
      <formula>2</formula>
    </cfRule>
    <cfRule type="cellIs" dxfId="1677" priority="5185" operator="equal">
      <formula>1</formula>
    </cfRule>
  </conditionalFormatting>
  <conditionalFormatting sqref="J162:M162">
    <cfRule type="cellIs" dxfId="1676" priority="408" operator="equal">
      <formula>"gut"</formula>
    </cfRule>
    <cfRule type="cellIs" dxfId="1675" priority="407" operator="equal">
      <formula>"schlecht"</formula>
    </cfRule>
  </conditionalFormatting>
  <conditionalFormatting sqref="J34:AA34">
    <cfRule type="cellIs" dxfId="1674" priority="5534" operator="equal">
      <formula>"mässig"</formula>
    </cfRule>
    <cfRule type="cellIs" dxfId="1673" priority="5535" operator="equal">
      <formula>"gut"</formula>
    </cfRule>
    <cfRule type="cellIs" dxfId="1672" priority="5536" operator="equal">
      <formula>"schlecht"</formula>
    </cfRule>
  </conditionalFormatting>
  <conditionalFormatting sqref="J44:AA44">
    <cfRule type="cellIs" dxfId="1671" priority="846" operator="equal">
      <formula>"mässig"</formula>
    </cfRule>
    <cfRule type="cellIs" dxfId="1670" priority="548" operator="equal">
      <formula>"schlecht"</formula>
    </cfRule>
    <cfRule type="cellIs" dxfId="1669" priority="800" operator="equal">
      <formula>"gut"</formula>
    </cfRule>
  </conditionalFormatting>
  <conditionalFormatting sqref="J55:AA55">
    <cfRule type="cellIs" dxfId="1668" priority="545" operator="equal">
      <formula>"schlecht"</formula>
    </cfRule>
    <cfRule type="cellIs" dxfId="1667" priority="544" operator="equal">
      <formula>"gut"</formula>
    </cfRule>
    <cfRule type="cellIs" dxfId="1666" priority="543" operator="equal">
      <formula>"mässig"</formula>
    </cfRule>
  </conditionalFormatting>
  <conditionalFormatting sqref="J66:AA66">
    <cfRule type="cellIs" dxfId="1665" priority="540" operator="equal">
      <formula>"schlecht"</formula>
    </cfRule>
    <cfRule type="cellIs" dxfId="1664" priority="542" operator="equal">
      <formula>"mässig"</formula>
    </cfRule>
    <cfRule type="cellIs" dxfId="1663" priority="541" operator="equal">
      <formula>"gut"</formula>
    </cfRule>
  </conditionalFormatting>
  <conditionalFormatting sqref="J80:AA80">
    <cfRule type="cellIs" dxfId="1662" priority="539" operator="equal">
      <formula>"schlecht"</formula>
    </cfRule>
    <cfRule type="cellIs" dxfId="1661" priority="537" operator="equal">
      <formula>"mässig"</formula>
    </cfRule>
    <cfRule type="cellIs" dxfId="1660" priority="538" operator="equal">
      <formula>"gut"</formula>
    </cfRule>
  </conditionalFormatting>
  <conditionalFormatting sqref="J104:AA104">
    <cfRule type="cellIs" dxfId="1659" priority="535" operator="equal">
      <formula>"gut"</formula>
    </cfRule>
    <cfRule type="cellIs" dxfId="1658" priority="536" operator="equal">
      <formula>"mässig"</formula>
    </cfRule>
    <cfRule type="cellIs" dxfId="1657" priority="534" operator="equal">
      <formula>"schlecht"</formula>
    </cfRule>
  </conditionalFormatting>
  <conditionalFormatting sqref="J115:AA115">
    <cfRule type="cellIs" dxfId="1656" priority="533" operator="equal">
      <formula>"schlecht"</formula>
    </cfRule>
    <cfRule type="cellIs" dxfId="1655" priority="532" operator="equal">
      <formula>"gut"</formula>
    </cfRule>
    <cfRule type="cellIs" dxfId="1654" priority="531" operator="equal">
      <formula>"mässig"</formula>
    </cfRule>
  </conditionalFormatting>
  <conditionalFormatting sqref="J126:AA126">
    <cfRule type="cellIs" dxfId="1653" priority="528" operator="equal">
      <formula>"schlecht"</formula>
    </cfRule>
    <cfRule type="cellIs" dxfId="1652" priority="529" operator="equal">
      <formula>"gut"</formula>
    </cfRule>
    <cfRule type="cellIs" dxfId="1651" priority="530" operator="equal">
      <formula>"mässig"</formula>
    </cfRule>
  </conditionalFormatting>
  <conditionalFormatting sqref="J137:AA137">
    <cfRule type="cellIs" dxfId="1650" priority="527" operator="equal">
      <formula>"schlecht"</formula>
    </cfRule>
    <cfRule type="cellIs" dxfId="1649" priority="526" operator="equal">
      <formula>"gut"</formula>
    </cfRule>
    <cfRule type="cellIs" dxfId="1648" priority="525" operator="equal">
      <formula>"mässig"</formula>
    </cfRule>
  </conditionalFormatting>
  <conditionalFormatting sqref="J148:AA148">
    <cfRule type="cellIs" dxfId="1647" priority="523" operator="equal">
      <formula>"gut"</formula>
    </cfRule>
    <cfRule type="cellIs" dxfId="1646" priority="522" operator="equal">
      <formula>"schlecht"</formula>
    </cfRule>
    <cfRule type="cellIs" dxfId="1645" priority="524" operator="equal">
      <formula>"mässig"</formula>
    </cfRule>
  </conditionalFormatting>
  <conditionalFormatting sqref="J162:AA162">
    <cfRule type="cellIs" dxfId="1644" priority="423" operator="equal">
      <formula>"mässig"</formula>
    </cfRule>
  </conditionalFormatting>
  <conditionalFormatting sqref="J173:AA173">
    <cfRule type="cellIs" dxfId="1643" priority="521" operator="equal">
      <formula>"schlecht"</formula>
    </cfRule>
    <cfRule type="cellIs" dxfId="1642" priority="519" operator="equal">
      <formula>"mässig"</formula>
    </cfRule>
    <cfRule type="cellIs" dxfId="1641" priority="520" operator="equal">
      <formula>"gut"</formula>
    </cfRule>
  </conditionalFormatting>
  <conditionalFormatting sqref="J223:AA223">
    <cfRule type="cellIs" dxfId="1640" priority="382" operator="equal">
      <formula>"gut"</formula>
    </cfRule>
    <cfRule type="cellIs" dxfId="1639" priority="381" operator="equal">
      <formula>"schlecht"</formula>
    </cfRule>
    <cfRule type="cellIs" dxfId="1638" priority="383" operator="equal">
      <formula>"mässig"</formula>
    </cfRule>
  </conditionalFormatting>
  <conditionalFormatting sqref="J289:AA289 J206:AA206 J234:AA234 J245:AA245 J256:AA256 J267:AA267 J278:AA278">
    <cfRule type="cellIs" dxfId="1637" priority="1371" operator="equal">
      <formula>"mässig"</formula>
    </cfRule>
    <cfRule type="cellIs" dxfId="1636" priority="1370" operator="equal">
      <formula>"gut"</formula>
    </cfRule>
    <cfRule type="cellIs" dxfId="1635" priority="1369" operator="equal">
      <formula>"schlecht"</formula>
    </cfRule>
  </conditionalFormatting>
  <conditionalFormatting sqref="J313:AA313 J324:AA324 J335:AA335">
    <cfRule type="cellIs" dxfId="1634" priority="518" operator="equal">
      <formula>"mässig"</formula>
    </cfRule>
    <cfRule type="cellIs" dxfId="1633" priority="549" operator="equal">
      <formula>"schlecht"</formula>
    </cfRule>
    <cfRule type="cellIs" dxfId="1632" priority="550" operator="equal">
      <formula>"gut"</formula>
    </cfRule>
  </conditionalFormatting>
  <conditionalFormatting sqref="J11:AB14">
    <cfRule type="cellIs" dxfId="1631" priority="4333" operator="equal">
      <formula>2</formula>
    </cfRule>
    <cfRule type="cellIs" dxfId="1630" priority="4331" operator="equal">
      <formula>1</formula>
    </cfRule>
    <cfRule type="cellIs" dxfId="1629" priority="4332" operator="equal">
      <formula>3</formula>
    </cfRule>
  </conditionalFormatting>
  <conditionalFormatting sqref="K32:K33">
    <cfRule type="expression" dxfId="1628" priority="1367">
      <formula>$K$34="keine Korrektur"</formula>
    </cfRule>
  </conditionalFormatting>
  <conditionalFormatting sqref="K42">
    <cfRule type="expression" dxfId="1627" priority="1362">
      <formula>$K$44="keine Korrektur"</formula>
    </cfRule>
  </conditionalFormatting>
  <conditionalFormatting sqref="K52:K54">
    <cfRule type="expression" dxfId="1626" priority="1357">
      <formula>$K$55="keine Korrektur"</formula>
    </cfRule>
  </conditionalFormatting>
  <conditionalFormatting sqref="K63">
    <cfRule type="expression" dxfId="1625" priority="1267">
      <formula>$K$66="keine Korrektur"</formula>
    </cfRule>
  </conditionalFormatting>
  <conditionalFormatting sqref="K74:K79">
    <cfRule type="expression" dxfId="1624" priority="1352">
      <formula>$K$80="keine Korrektur"</formula>
    </cfRule>
  </conditionalFormatting>
  <conditionalFormatting sqref="K87:K88">
    <cfRule type="cellIs" dxfId="1623" priority="1978" operator="equal">
      <formula>"schlecht"</formula>
    </cfRule>
    <cfRule type="cellIs" dxfId="1622" priority="1976" operator="equal">
      <formula>"mässig"</formula>
    </cfRule>
    <cfRule type="cellIs" dxfId="1621" priority="1977" operator="equal">
      <formula>"gut"</formula>
    </cfRule>
  </conditionalFormatting>
  <conditionalFormatting sqref="K101:K103">
    <cfRule type="expression" dxfId="1620" priority="1347">
      <formula>$K$104="keine Korrektur"</formula>
    </cfRule>
  </conditionalFormatting>
  <conditionalFormatting sqref="K112:K114">
    <cfRule type="expression" dxfId="1619" priority="1342">
      <formula>$K$115="keine Korrektur"</formula>
    </cfRule>
  </conditionalFormatting>
  <conditionalFormatting sqref="K123:K125">
    <cfRule type="expression" dxfId="1618" priority="1337">
      <formula>$K$126="keine Korrektur"</formula>
    </cfRule>
  </conditionalFormatting>
  <conditionalFormatting sqref="K134:K136">
    <cfRule type="expression" dxfId="1617" priority="1332">
      <formula>$K$137="keine Korrektur"</formula>
    </cfRule>
  </conditionalFormatting>
  <conditionalFormatting sqref="K145:K147">
    <cfRule type="expression" dxfId="1616" priority="951">
      <formula>$K$148="keine Korrektur"</formula>
    </cfRule>
  </conditionalFormatting>
  <conditionalFormatting sqref="K156:K161">
    <cfRule type="expression" dxfId="1615" priority="516">
      <formula>$K$162="keine Korrektur"</formula>
    </cfRule>
  </conditionalFormatting>
  <conditionalFormatting sqref="K170">
    <cfRule type="expression" dxfId="1614" priority="760">
      <formula>$K$173="keine Korrektur"</formula>
    </cfRule>
  </conditionalFormatting>
  <conditionalFormatting sqref="K180:K181">
    <cfRule type="cellIs" dxfId="1613" priority="1766" operator="equal">
      <formula>"mässig"</formula>
    </cfRule>
    <cfRule type="cellIs" dxfId="1612" priority="1768" operator="equal">
      <formula>"schlecht"</formula>
    </cfRule>
    <cfRule type="cellIs" dxfId="1611" priority="1767" operator="equal">
      <formula>"gut"</formula>
    </cfRule>
  </conditionalFormatting>
  <conditionalFormatting sqref="K194:K205 K214:K222">
    <cfRule type="expression" dxfId="1610" priority="1317">
      <formula>$K$206="keine Korrektur"</formula>
    </cfRule>
  </conditionalFormatting>
  <conditionalFormatting sqref="K231:K233">
    <cfRule type="expression" dxfId="1609" priority="1312">
      <formula>$K$234="keine Korrektur"</formula>
    </cfRule>
  </conditionalFormatting>
  <conditionalFormatting sqref="K242:K244">
    <cfRule type="expression" dxfId="1608" priority="1307">
      <formula>$K$245="keine Korrektur"</formula>
    </cfRule>
  </conditionalFormatting>
  <conditionalFormatting sqref="K253">
    <cfRule type="expression" dxfId="1607" priority="1302">
      <formula>$K$256="keine Korrektur"</formula>
    </cfRule>
  </conditionalFormatting>
  <conditionalFormatting sqref="K264">
    <cfRule type="expression" dxfId="1606" priority="1297">
      <formula>$K$267="keine Korrektur"</formula>
    </cfRule>
  </conditionalFormatting>
  <conditionalFormatting sqref="K275:K277">
    <cfRule type="expression" dxfId="1605" priority="6475">
      <formula>$K$278="keine Korrektur"</formula>
    </cfRule>
  </conditionalFormatting>
  <conditionalFormatting sqref="K286">
    <cfRule type="expression" dxfId="1604" priority="1372">
      <formula>$K$289="keine Korrektur"</formula>
    </cfRule>
  </conditionalFormatting>
  <conditionalFormatting sqref="K296">
    <cfRule type="cellIs" dxfId="1603" priority="1581" operator="equal">
      <formula>"gut"</formula>
    </cfRule>
    <cfRule type="cellIs" dxfId="1602" priority="1580" operator="equal">
      <formula>"mässig"</formula>
    </cfRule>
    <cfRule type="cellIs" dxfId="1601" priority="1582" operator="equal">
      <formula>"schlecht"</formula>
    </cfRule>
  </conditionalFormatting>
  <conditionalFormatting sqref="K310">
    <cfRule type="expression" dxfId="1599" priority="1282">
      <formula>$K$313="keine Korrektur"</formula>
    </cfRule>
  </conditionalFormatting>
  <conditionalFormatting sqref="K320">
    <cfRule type="cellIs" dxfId="1598" priority="511" operator="equal">
      <formula>"gut"</formula>
    </cfRule>
    <cfRule type="cellIs" dxfId="1597" priority="512" operator="equal">
      <formula>"schlecht"</formula>
    </cfRule>
    <cfRule type="cellIs" dxfId="1596" priority="510" operator="equal">
      <formula>"mässig"</formula>
    </cfRule>
  </conditionalFormatting>
  <conditionalFormatting sqref="K332">
    <cfRule type="expression" dxfId="1595" priority="1272">
      <formula>$K$335="keine Korrektur"</formula>
    </cfRule>
  </conditionalFormatting>
  <conditionalFormatting sqref="K342:K343">
    <cfRule type="cellIs" dxfId="1594" priority="1431" operator="equal">
      <formula>"gut"</formula>
    </cfRule>
    <cfRule type="cellIs" dxfId="1593" priority="1432" operator="equal">
      <formula>"schlecht"</formula>
    </cfRule>
    <cfRule type="cellIs" dxfId="1592" priority="1430" operator="equal">
      <formula>"mässig"</formula>
    </cfRule>
  </conditionalFormatting>
  <conditionalFormatting sqref="K297:L297">
    <cfRule type="cellIs" dxfId="1591" priority="4" operator="equal">
      <formula>"mässig"</formula>
    </cfRule>
    <cfRule type="cellIs" dxfId="1590" priority="2" operator="equal">
      <formula>"schlecht"</formula>
    </cfRule>
    <cfRule type="cellIs" dxfId="1589" priority="3" operator="equal">
      <formula>"gut"</formula>
    </cfRule>
  </conditionalFormatting>
  <conditionalFormatting sqref="M191:O206">
    <cfRule type="expression" dxfId="1588" priority="342">
      <formula>$M$194="DEAKTIVIERT"</formula>
    </cfRule>
  </conditionalFormatting>
  <conditionalFormatting sqref="M211:O223">
    <cfRule type="expression" dxfId="1586" priority="349">
      <formula>$M$214="DEAKTIVIERT"</formula>
    </cfRule>
  </conditionalFormatting>
  <conditionalFormatting sqref="N87">
    <cfRule type="cellIs" dxfId="1585" priority="1974" operator="equal">
      <formula>"gut"</formula>
    </cfRule>
    <cfRule type="cellIs" dxfId="1584" priority="1973" operator="equal">
      <formula>"mässig"</formula>
    </cfRule>
    <cfRule type="cellIs" dxfId="1583" priority="1975" operator="equal">
      <formula>"schlecht"</formula>
    </cfRule>
  </conditionalFormatting>
  <conditionalFormatting sqref="N180">
    <cfRule type="cellIs" dxfId="1582" priority="1765" operator="equal">
      <formula>"schlecht"</formula>
    </cfRule>
    <cfRule type="cellIs" dxfId="1581" priority="1764" operator="equal">
      <formula>"gut"</formula>
    </cfRule>
    <cfRule type="cellIs" dxfId="1580" priority="1763" operator="equal">
      <formula>"mässig"</formula>
    </cfRule>
  </conditionalFormatting>
  <conditionalFormatting sqref="N296:N297">
    <cfRule type="cellIs" dxfId="1577" priority="1579" operator="equal">
      <formula>"schlecht"</formula>
    </cfRule>
    <cfRule type="cellIs" dxfId="1576" priority="1578" operator="equal">
      <formula>"gut"</formula>
    </cfRule>
    <cfRule type="cellIs" dxfId="1575" priority="1577" operator="equal">
      <formula>"mässig"</formula>
    </cfRule>
  </conditionalFormatting>
  <conditionalFormatting sqref="N342">
    <cfRule type="cellIs" dxfId="1574" priority="1429" operator="equal">
      <formula>"schlecht"</formula>
    </cfRule>
    <cfRule type="cellIs" dxfId="1573" priority="1427" operator="equal">
      <formula>"mässig"</formula>
    </cfRule>
    <cfRule type="cellIs" dxfId="1572" priority="1428" operator="equal">
      <formula>"gut"</formula>
    </cfRule>
  </conditionalFormatting>
  <conditionalFormatting sqref="N10:O10">
    <cfRule type="cellIs" dxfId="1570" priority="2120" operator="equal">
      <formula>"mässig"</formula>
    </cfRule>
    <cfRule type="cellIs" dxfId="1569" priority="2121" operator="equal">
      <formula>"gut"</formula>
    </cfRule>
    <cfRule type="cellIs" dxfId="1568" priority="2122" operator="equal">
      <formula>"schlecht"</formula>
    </cfRule>
  </conditionalFormatting>
  <conditionalFormatting sqref="N30:O30">
    <cfRule type="cellIs" dxfId="1567" priority="2092" operator="equal">
      <formula>"schlecht"</formula>
    </cfRule>
    <cfRule type="cellIs" dxfId="1566" priority="2091" operator="equal">
      <formula>"gut"</formula>
    </cfRule>
    <cfRule type="cellIs" dxfId="1565" priority="2090" operator="equal">
      <formula>"mässig"</formula>
    </cfRule>
  </conditionalFormatting>
  <conditionalFormatting sqref="N40:O40">
    <cfRule type="cellIs" dxfId="1564" priority="2062" operator="equal">
      <formula>"schlecht"</formula>
    </cfRule>
    <cfRule type="cellIs" dxfId="1563" priority="2060" operator="equal">
      <formula>"mässig"</formula>
    </cfRule>
    <cfRule type="cellIs" dxfId="1562" priority="2061" operator="equal">
      <formula>"gut"</formula>
    </cfRule>
  </conditionalFormatting>
  <conditionalFormatting sqref="N50:O50">
    <cfRule type="cellIs" dxfId="1561" priority="2032" operator="equal">
      <formula>"schlecht"</formula>
    </cfRule>
    <cfRule type="cellIs" dxfId="1560" priority="2030" operator="equal">
      <formula>"mässig"</formula>
    </cfRule>
    <cfRule type="cellIs" dxfId="1559" priority="2031" operator="equal">
      <formula>"gut"</formula>
    </cfRule>
  </conditionalFormatting>
  <conditionalFormatting sqref="N61:O61">
    <cfRule type="cellIs" dxfId="1558" priority="829" operator="equal">
      <formula>"mässig"</formula>
    </cfRule>
    <cfRule type="cellIs" dxfId="1557" priority="830" operator="equal">
      <formula>"gut"</formula>
    </cfRule>
    <cfRule type="cellIs" dxfId="1556" priority="831" operator="equal">
      <formula>"schlecht"</formula>
    </cfRule>
  </conditionalFormatting>
  <conditionalFormatting sqref="N72:O72">
    <cfRule type="cellIs" dxfId="1555" priority="2000" operator="equal">
      <formula>"mässig"</formula>
    </cfRule>
    <cfRule type="cellIs" dxfId="1554" priority="2001" operator="equal">
      <formula>"gut"</formula>
    </cfRule>
    <cfRule type="cellIs" dxfId="1553" priority="2002" operator="equal">
      <formula>"schlecht"</formula>
    </cfRule>
  </conditionalFormatting>
  <conditionalFormatting sqref="N154:O154">
    <cfRule type="cellIs" dxfId="1552" priority="451" operator="equal">
      <formula>"schlecht"</formula>
    </cfRule>
    <cfRule type="cellIs" dxfId="1551" priority="450" operator="equal">
      <formula>"gut"</formula>
    </cfRule>
    <cfRule type="cellIs" dxfId="1550" priority="449" operator="equal">
      <formula>"mässig"</formula>
    </cfRule>
  </conditionalFormatting>
  <conditionalFormatting sqref="N88:P88">
    <cfRule type="cellIs" dxfId="1548" priority="4973" operator="equal">
      <formula>"schlecht"</formula>
    </cfRule>
    <cfRule type="cellIs" dxfId="1547" priority="4974" operator="equal">
      <formula>"gut"</formula>
    </cfRule>
    <cfRule type="cellIs" dxfId="1546" priority="4975" operator="equal">
      <formula>"mässig"</formula>
    </cfRule>
  </conditionalFormatting>
  <conditionalFormatting sqref="N89:P89">
    <cfRule type="cellIs" dxfId="1545" priority="5040" operator="equal">
      <formula>3</formula>
    </cfRule>
    <cfRule type="cellIs" dxfId="1544" priority="5041" operator="equal">
      <formula>1</formula>
    </cfRule>
    <cfRule type="cellIs" dxfId="1543" priority="5039" operator="equal">
      <formula>2</formula>
    </cfRule>
  </conditionalFormatting>
  <conditionalFormatting sqref="N181:P181">
    <cfRule type="cellIs" dxfId="1542" priority="4234" operator="equal">
      <formula>"mässig"</formula>
    </cfRule>
    <cfRule type="cellIs" dxfId="1541" priority="4233" operator="equal">
      <formula>"gut"</formula>
    </cfRule>
    <cfRule type="cellIs" dxfId="1540" priority="4232" operator="equal">
      <formula>"schlecht"</formula>
    </cfRule>
  </conditionalFormatting>
  <conditionalFormatting sqref="N182:P182">
    <cfRule type="cellIs" dxfId="1539" priority="5383" operator="equal">
      <formula>1</formula>
    </cfRule>
    <cfRule type="cellIs" dxfId="1538" priority="5382" operator="equal">
      <formula>3</formula>
    </cfRule>
    <cfRule type="cellIs" dxfId="1537" priority="5381" operator="equal">
      <formula>2</formula>
    </cfRule>
  </conditionalFormatting>
  <conditionalFormatting sqref="N298:P298">
    <cfRule type="cellIs" dxfId="1536" priority="5294" operator="equal">
      <formula>2</formula>
    </cfRule>
    <cfRule type="cellIs" dxfId="1535" priority="5295" operator="equal">
      <formula>3</formula>
    </cfRule>
    <cfRule type="cellIs" dxfId="1534" priority="5296" operator="equal">
      <formula>1</formula>
    </cfRule>
  </conditionalFormatting>
  <conditionalFormatting sqref="N343:P343">
    <cfRule type="cellIs" dxfId="1533" priority="3262" operator="equal">
      <formula>"mässig"</formula>
    </cfRule>
    <cfRule type="cellIs" dxfId="1532" priority="3261" operator="equal">
      <formula>"gut"</formula>
    </cfRule>
    <cfRule type="cellIs" dxfId="1531" priority="3260" operator="equal">
      <formula>"schlecht"</formula>
    </cfRule>
  </conditionalFormatting>
  <conditionalFormatting sqref="N344:P344">
    <cfRule type="cellIs" dxfId="1530" priority="5180" operator="equal">
      <formula>2</formula>
    </cfRule>
    <cfRule type="cellIs" dxfId="1529" priority="5181" operator="equal">
      <formula>3</formula>
    </cfRule>
    <cfRule type="cellIs" dxfId="1528" priority="5182" operator="equal">
      <formula>1</formula>
    </cfRule>
  </conditionalFormatting>
  <conditionalFormatting sqref="N162:AA162">
    <cfRule type="cellIs" dxfId="1527" priority="391" operator="equal">
      <formula>"schlecht"</formula>
    </cfRule>
    <cfRule type="cellIs" dxfId="1526" priority="392" operator="equal">
      <formula>"gut"</formula>
    </cfRule>
  </conditionalFormatting>
  <conditionalFormatting sqref="O32:O33">
    <cfRule type="expression" dxfId="1525" priority="1366">
      <formula>$O$34="keine Korrektur"</formula>
    </cfRule>
  </conditionalFormatting>
  <conditionalFormatting sqref="O42">
    <cfRule type="expression" dxfId="1524" priority="1361">
      <formula>$O$44="keine Korrektur"</formula>
    </cfRule>
  </conditionalFormatting>
  <conditionalFormatting sqref="O52">
    <cfRule type="expression" dxfId="1523" priority="1356">
      <formula>$O$55="keine Korrektur"</formula>
    </cfRule>
  </conditionalFormatting>
  <conditionalFormatting sqref="O63">
    <cfRule type="expression" dxfId="1522" priority="1265">
      <formula>$O$44="keine Korrektur"</formula>
    </cfRule>
  </conditionalFormatting>
  <conditionalFormatting sqref="O74">
    <cfRule type="expression" dxfId="1521" priority="1351">
      <formula>$O$80="keine Korrektur"</formula>
    </cfRule>
  </conditionalFormatting>
  <conditionalFormatting sqref="O87:O88">
    <cfRule type="cellIs" dxfId="1520" priority="1971" operator="equal">
      <formula>"gut"</formula>
    </cfRule>
    <cfRule type="cellIs" dxfId="1519" priority="1972" operator="equal">
      <formula>"schlecht"</formula>
    </cfRule>
    <cfRule type="cellIs" dxfId="1518" priority="1970" operator="equal">
      <formula>"mässig"</formula>
    </cfRule>
  </conditionalFormatting>
  <conditionalFormatting sqref="O101">
    <cfRule type="expression" dxfId="1517" priority="1346">
      <formula>$O$104="keine Korrektur"</formula>
    </cfRule>
  </conditionalFormatting>
  <conditionalFormatting sqref="O112">
    <cfRule type="expression" dxfId="1516" priority="1341">
      <formula>$O$115="keine Korrektur"</formula>
    </cfRule>
  </conditionalFormatting>
  <conditionalFormatting sqref="O123">
    <cfRule type="expression" dxfId="1515" priority="1336">
      <formula>$O$126="keine Korrektur"</formula>
    </cfRule>
  </conditionalFormatting>
  <conditionalFormatting sqref="O134">
    <cfRule type="expression" dxfId="1514" priority="1331">
      <formula>$O$137="keine Korrektur"</formula>
    </cfRule>
  </conditionalFormatting>
  <conditionalFormatting sqref="O145">
    <cfRule type="expression" dxfId="1513" priority="950">
      <formula>$O$148="keine Korrektur"</formula>
    </cfRule>
  </conditionalFormatting>
  <conditionalFormatting sqref="O156">
    <cfRule type="expression" dxfId="1512" priority="515">
      <formula>$O$162="keine Korrektur"</formula>
    </cfRule>
  </conditionalFormatting>
  <conditionalFormatting sqref="O170">
    <cfRule type="expression" dxfId="1511" priority="748">
      <formula>$K$66="keine Korrektur"</formula>
    </cfRule>
    <cfRule type="expression" dxfId="1510" priority="747">
      <formula>$K$44="keine Korrektur"</formula>
    </cfRule>
  </conditionalFormatting>
  <conditionalFormatting sqref="O180:O181">
    <cfRule type="cellIs" dxfId="1509" priority="1762" operator="equal">
      <formula>"schlecht"</formula>
    </cfRule>
    <cfRule type="cellIs" dxfId="1508" priority="1760" operator="equal">
      <formula>"mässig"</formula>
    </cfRule>
    <cfRule type="cellIs" dxfId="1507" priority="1761" operator="equal">
      <formula>"gut"</formula>
    </cfRule>
  </conditionalFormatting>
  <conditionalFormatting sqref="O194">
    <cfRule type="expression" dxfId="1506" priority="1316">
      <formula>$O$206="keine Korrektur"</formula>
    </cfRule>
  </conditionalFormatting>
  <conditionalFormatting sqref="O214">
    <cfRule type="expression" dxfId="1505" priority="402">
      <formula>$O$206="keine Korrektur"</formula>
    </cfRule>
  </conditionalFormatting>
  <conditionalFormatting sqref="O231">
    <cfRule type="expression" dxfId="1504" priority="1311">
      <formula>$O$234="keine Korrektur"</formula>
    </cfRule>
  </conditionalFormatting>
  <conditionalFormatting sqref="O242">
    <cfRule type="expression" dxfId="1503" priority="1306">
      <formula>$O$245="keine Korrektur"</formula>
    </cfRule>
  </conditionalFormatting>
  <conditionalFormatting sqref="O253">
    <cfRule type="expression" dxfId="1502" priority="1301">
      <formula>$O$256="keine Korrektur"</formula>
    </cfRule>
  </conditionalFormatting>
  <conditionalFormatting sqref="O264">
    <cfRule type="expression" dxfId="1501" priority="1296">
      <formula>$O$267="keine Korrektur"</formula>
    </cfRule>
  </conditionalFormatting>
  <conditionalFormatting sqref="O275">
    <cfRule type="expression" dxfId="1500" priority="6476">
      <formula>#REF!="keine Korrektur"</formula>
    </cfRule>
  </conditionalFormatting>
  <conditionalFormatting sqref="O286">
    <cfRule type="expression" dxfId="1499" priority="1292">
      <formula>$O$289="keine Korrektur"</formula>
    </cfRule>
  </conditionalFormatting>
  <conditionalFormatting sqref="O296">
    <cfRule type="cellIs" dxfId="1498" priority="1576" operator="equal">
      <formula>"schlecht"</formula>
    </cfRule>
    <cfRule type="cellIs" dxfId="1497" priority="1575" operator="equal">
      <formula>"gut"</formula>
    </cfRule>
    <cfRule type="cellIs" dxfId="1496" priority="1574" operator="equal">
      <formula>"mässig"</formula>
    </cfRule>
  </conditionalFormatting>
  <conditionalFormatting sqref="O310">
    <cfRule type="expression" dxfId="1494" priority="1281">
      <formula>$O$313="keine Korrektur"</formula>
    </cfRule>
  </conditionalFormatting>
  <conditionalFormatting sqref="O320">
    <cfRule type="cellIs" dxfId="1493" priority="506" operator="equal">
      <formula>"mässig"</formula>
    </cfRule>
    <cfRule type="cellIs" dxfId="1492" priority="508" operator="equal">
      <formula>"schlecht"</formula>
    </cfRule>
    <cfRule type="cellIs" dxfId="1491" priority="507" operator="equal">
      <formula>"gut"</formula>
    </cfRule>
  </conditionalFormatting>
  <conditionalFormatting sqref="O332">
    <cfRule type="expression" dxfId="1490" priority="1271">
      <formula>$O$335="keine Korrektur"</formula>
    </cfRule>
  </conditionalFormatting>
  <conditionalFormatting sqref="O342:O343">
    <cfRule type="cellIs" dxfId="1489" priority="1426" operator="equal">
      <formula>"schlecht"</formula>
    </cfRule>
    <cfRule type="cellIs" dxfId="1488" priority="1425" operator="equal">
      <formula>"gut"</formula>
    </cfRule>
    <cfRule type="cellIs" dxfId="1487" priority="1424" operator="equal">
      <formula>"mässig"</formula>
    </cfRule>
  </conditionalFormatting>
  <conditionalFormatting sqref="O297:P297">
    <cfRule type="cellIs" dxfId="1486" priority="87" operator="equal">
      <formula>"schlecht"</formula>
    </cfRule>
    <cfRule type="cellIs" dxfId="1485" priority="88" operator="equal">
      <formula>"gut"</formula>
    </cfRule>
    <cfRule type="cellIs" dxfId="1484" priority="89" operator="equal">
      <formula>"mässig"</formula>
    </cfRule>
  </conditionalFormatting>
  <conditionalFormatting sqref="Q191:S206">
    <cfRule type="expression" dxfId="1483" priority="343">
      <formula>$Q$194="DEAKTIVIERT"</formula>
    </cfRule>
  </conditionalFormatting>
  <conditionalFormatting sqref="Q211:S223">
    <cfRule type="expression" dxfId="1481" priority="348">
      <formula>$Q$214="DEAKTIVIERT"</formula>
    </cfRule>
  </conditionalFormatting>
  <conditionalFormatting sqref="R87">
    <cfRule type="cellIs" dxfId="1480" priority="1969" operator="equal">
      <formula>"schlecht"</formula>
    </cfRule>
    <cfRule type="cellIs" dxfId="1479" priority="1968" operator="equal">
      <formula>"gut"</formula>
    </cfRule>
    <cfRule type="cellIs" dxfId="1478" priority="1967" operator="equal">
      <formula>"mässig"</formula>
    </cfRule>
  </conditionalFormatting>
  <conditionalFormatting sqref="R180">
    <cfRule type="cellIs" dxfId="1477" priority="1757" operator="equal">
      <formula>"mässig"</formula>
    </cfRule>
    <cfRule type="cellIs" dxfId="1476" priority="1759" operator="equal">
      <formula>"schlecht"</formula>
    </cfRule>
    <cfRule type="cellIs" dxfId="1475" priority="1758" operator="equal">
      <formula>"gut"</formula>
    </cfRule>
  </conditionalFormatting>
  <conditionalFormatting sqref="R296:R297">
    <cfRule type="cellIs" dxfId="1472" priority="1571" operator="equal">
      <formula>"mässig"</formula>
    </cfRule>
    <cfRule type="cellIs" dxfId="1471" priority="1572" operator="equal">
      <formula>"gut"</formula>
    </cfRule>
    <cfRule type="cellIs" dxfId="1470" priority="1573" operator="equal">
      <formula>"schlecht"</formula>
    </cfRule>
  </conditionalFormatting>
  <conditionalFormatting sqref="R342">
    <cfRule type="cellIs" dxfId="1469" priority="1421" operator="equal">
      <formula>"mässig"</formula>
    </cfRule>
    <cfRule type="cellIs" dxfId="1468" priority="1422" operator="equal">
      <formula>"gut"</formula>
    </cfRule>
    <cfRule type="cellIs" dxfId="1467" priority="1423" operator="equal">
      <formula>"schlecht"</formula>
    </cfRule>
  </conditionalFormatting>
  <conditionalFormatting sqref="R10:S10">
    <cfRule type="cellIs" dxfId="1465" priority="2114" operator="equal">
      <formula>"mässig"</formula>
    </cfRule>
    <cfRule type="cellIs" dxfId="1464" priority="2115" operator="equal">
      <formula>"gut"</formula>
    </cfRule>
    <cfRule type="cellIs" dxfId="1463" priority="2116" operator="equal">
      <formula>"schlecht"</formula>
    </cfRule>
  </conditionalFormatting>
  <conditionalFormatting sqref="R30:S30">
    <cfRule type="cellIs" dxfId="1462" priority="2085" operator="equal">
      <formula>"gut"</formula>
    </cfRule>
    <cfRule type="cellIs" dxfId="1461" priority="2084" operator="equal">
      <formula>"mässig"</formula>
    </cfRule>
    <cfRule type="cellIs" dxfId="1460" priority="2086" operator="equal">
      <formula>"schlecht"</formula>
    </cfRule>
  </conditionalFormatting>
  <conditionalFormatting sqref="R40:S40">
    <cfRule type="cellIs" dxfId="1459" priority="2055" operator="equal">
      <formula>"gut"</formula>
    </cfRule>
    <cfRule type="cellIs" dxfId="1458" priority="2056" operator="equal">
      <formula>"schlecht"</formula>
    </cfRule>
    <cfRule type="cellIs" dxfId="1457" priority="2054" operator="equal">
      <formula>"mässig"</formula>
    </cfRule>
  </conditionalFormatting>
  <conditionalFormatting sqref="R50:S50">
    <cfRule type="cellIs" dxfId="1456" priority="2026" operator="equal">
      <formula>"schlecht"</formula>
    </cfRule>
    <cfRule type="cellIs" dxfId="1455" priority="2025" operator="equal">
      <formula>"gut"</formula>
    </cfRule>
    <cfRule type="cellIs" dxfId="1454" priority="2024" operator="equal">
      <formula>"mässig"</formula>
    </cfRule>
  </conditionalFormatting>
  <conditionalFormatting sqref="R61:S61">
    <cfRule type="cellIs" dxfId="1453" priority="825" operator="equal">
      <formula>"schlecht"</formula>
    </cfRule>
    <cfRule type="cellIs" dxfId="1452" priority="824" operator="equal">
      <formula>"gut"</formula>
    </cfRule>
    <cfRule type="cellIs" dxfId="1451" priority="823" operator="equal">
      <formula>"mässig"</formula>
    </cfRule>
  </conditionalFormatting>
  <conditionalFormatting sqref="R72:S72">
    <cfRule type="cellIs" dxfId="1450" priority="1996" operator="equal">
      <formula>"schlecht"</formula>
    </cfRule>
    <cfRule type="cellIs" dxfId="1449" priority="1994" operator="equal">
      <formula>"mässig"</formula>
    </cfRule>
    <cfRule type="cellIs" dxfId="1448" priority="1995" operator="equal">
      <formula>"gut"</formula>
    </cfRule>
  </conditionalFormatting>
  <conditionalFormatting sqref="R154:S154">
    <cfRule type="cellIs" dxfId="1447" priority="445" operator="equal">
      <formula>"schlecht"</formula>
    </cfRule>
    <cfRule type="cellIs" dxfId="1446" priority="444" operator="equal">
      <formula>"gut"</formula>
    </cfRule>
    <cfRule type="cellIs" dxfId="1445" priority="443" operator="equal">
      <formula>"mässig"</formula>
    </cfRule>
  </conditionalFormatting>
  <conditionalFormatting sqref="R88:T88">
    <cfRule type="cellIs" dxfId="1443" priority="4971" operator="equal">
      <formula>"gut"</formula>
    </cfRule>
    <cfRule type="cellIs" dxfId="1442" priority="4970" operator="equal">
      <formula>"schlecht"</formula>
    </cfRule>
    <cfRule type="cellIs" dxfId="1441" priority="4972" operator="equal">
      <formula>"mässig"</formula>
    </cfRule>
  </conditionalFormatting>
  <conditionalFormatting sqref="R89:T89">
    <cfRule type="cellIs" dxfId="1440" priority="5036" operator="equal">
      <formula>2</formula>
    </cfRule>
    <cfRule type="cellIs" dxfId="1439" priority="5038" operator="equal">
      <formula>1</formula>
    </cfRule>
    <cfRule type="cellIs" dxfId="1438" priority="5037" operator="equal">
      <formula>3</formula>
    </cfRule>
  </conditionalFormatting>
  <conditionalFormatting sqref="R181:T181">
    <cfRule type="cellIs" dxfId="1437" priority="4231" operator="equal">
      <formula>"mässig"</formula>
    </cfRule>
    <cfRule type="cellIs" dxfId="1436" priority="4230" operator="equal">
      <formula>"gut"</formula>
    </cfRule>
    <cfRule type="cellIs" dxfId="1435" priority="4229" operator="equal">
      <formula>"schlecht"</formula>
    </cfRule>
  </conditionalFormatting>
  <conditionalFormatting sqref="R182:T182">
    <cfRule type="cellIs" dxfId="1434" priority="5378" operator="equal">
      <formula>2</formula>
    </cfRule>
    <cfRule type="cellIs" dxfId="1433" priority="5379" operator="equal">
      <formula>3</formula>
    </cfRule>
    <cfRule type="cellIs" dxfId="1432" priority="5380" operator="equal">
      <formula>1</formula>
    </cfRule>
  </conditionalFormatting>
  <conditionalFormatting sqref="R298:T298">
    <cfRule type="cellIs" dxfId="1431" priority="5292" operator="equal">
      <formula>3</formula>
    </cfRule>
    <cfRule type="cellIs" dxfId="1430" priority="5293" operator="equal">
      <formula>1</formula>
    </cfRule>
    <cfRule type="cellIs" dxfId="1429" priority="5291" operator="equal">
      <formula>2</formula>
    </cfRule>
  </conditionalFormatting>
  <conditionalFormatting sqref="R343:T343">
    <cfRule type="cellIs" dxfId="1428" priority="3259" operator="equal">
      <formula>"mässig"</formula>
    </cfRule>
    <cfRule type="cellIs" dxfId="1427" priority="3257" operator="equal">
      <formula>"schlecht"</formula>
    </cfRule>
    <cfRule type="cellIs" dxfId="1426" priority="3258" operator="equal">
      <formula>"gut"</formula>
    </cfRule>
  </conditionalFormatting>
  <conditionalFormatting sqref="R344:T344">
    <cfRule type="cellIs" dxfId="1425" priority="5179" operator="equal">
      <formula>1</formula>
    </cfRule>
    <cfRule type="cellIs" dxfId="1424" priority="5177" operator="equal">
      <formula>2</formula>
    </cfRule>
    <cfRule type="cellIs" dxfId="1423" priority="5178" operator="equal">
      <formula>3</formula>
    </cfRule>
  </conditionalFormatting>
  <conditionalFormatting sqref="S32">
    <cfRule type="expression" dxfId="1422" priority="1365">
      <formula>$S$34="keine Korrektur"</formula>
    </cfRule>
  </conditionalFormatting>
  <conditionalFormatting sqref="S42">
    <cfRule type="expression" dxfId="1421" priority="1360">
      <formula>$S$44="keine Korrektur"</formula>
    </cfRule>
  </conditionalFormatting>
  <conditionalFormatting sqref="S52">
    <cfRule type="expression" dxfId="1420" priority="1355">
      <formula>$S$55="keine Korrektur"</formula>
    </cfRule>
  </conditionalFormatting>
  <conditionalFormatting sqref="S63">
    <cfRule type="expression" dxfId="1419" priority="808">
      <formula>$S$44="keine Korrektur"</formula>
    </cfRule>
  </conditionalFormatting>
  <conditionalFormatting sqref="S74">
    <cfRule type="expression" dxfId="1418" priority="1350">
      <formula>$S$80="keine Korrektur"</formula>
    </cfRule>
  </conditionalFormatting>
  <conditionalFormatting sqref="S87:S88">
    <cfRule type="cellIs" dxfId="1417" priority="1965" operator="equal">
      <formula>"gut"</formula>
    </cfRule>
    <cfRule type="cellIs" dxfId="1416" priority="1966" operator="equal">
      <formula>"schlecht"</formula>
    </cfRule>
    <cfRule type="cellIs" dxfId="1415" priority="1964" operator="equal">
      <formula>"mässig"</formula>
    </cfRule>
  </conditionalFormatting>
  <conditionalFormatting sqref="S101">
    <cfRule type="expression" dxfId="1414" priority="1345">
      <formula>$S$104="keine Korrektur"</formula>
    </cfRule>
  </conditionalFormatting>
  <conditionalFormatting sqref="S112">
    <cfRule type="expression" dxfId="1413" priority="1340">
      <formula>$S$115="keine Korrektur"</formula>
    </cfRule>
  </conditionalFormatting>
  <conditionalFormatting sqref="S123">
    <cfRule type="expression" dxfId="1412" priority="1335">
      <formula>$S$126="keine Korrektur"</formula>
    </cfRule>
  </conditionalFormatting>
  <conditionalFormatting sqref="S134">
    <cfRule type="expression" dxfId="1411" priority="1330">
      <formula>$S$137="keine Korrektur"</formula>
    </cfRule>
  </conditionalFormatting>
  <conditionalFormatting sqref="S145">
    <cfRule type="expression" dxfId="1410" priority="949">
      <formula>$S$148="keine Korrektur"</formula>
    </cfRule>
  </conditionalFormatting>
  <conditionalFormatting sqref="S156">
    <cfRule type="expression" dxfId="1409" priority="514">
      <formula>$S$162="keine Korrektur"</formula>
    </cfRule>
  </conditionalFormatting>
  <conditionalFormatting sqref="S170">
    <cfRule type="expression" dxfId="1408" priority="762">
      <formula>$S$44="keine Korrektur"</formula>
    </cfRule>
  </conditionalFormatting>
  <conditionalFormatting sqref="S180:S181">
    <cfRule type="cellIs" dxfId="1407" priority="1754" operator="equal">
      <formula>"mässig"</formula>
    </cfRule>
    <cfRule type="cellIs" dxfId="1406" priority="1755" operator="equal">
      <formula>"gut"</formula>
    </cfRule>
    <cfRule type="cellIs" dxfId="1405" priority="1756" operator="equal">
      <formula>"schlecht"</formula>
    </cfRule>
  </conditionalFormatting>
  <conditionalFormatting sqref="S194">
    <cfRule type="expression" dxfId="1404" priority="1315">
      <formula>$S$206="keine Korrektur"</formula>
    </cfRule>
  </conditionalFormatting>
  <conditionalFormatting sqref="S214">
    <cfRule type="expression" dxfId="1403" priority="398">
      <formula>$S$206="keine Korrektur"</formula>
    </cfRule>
  </conditionalFormatting>
  <conditionalFormatting sqref="S231">
    <cfRule type="expression" dxfId="1402" priority="1310">
      <formula>$S$234="keine Korrektur"</formula>
    </cfRule>
  </conditionalFormatting>
  <conditionalFormatting sqref="S242">
    <cfRule type="expression" dxfId="1401" priority="1305">
      <formula>$S$245="keine Korrektur"</formula>
    </cfRule>
  </conditionalFormatting>
  <conditionalFormatting sqref="S253">
    <cfRule type="expression" dxfId="1400" priority="1300">
      <formula>$S$256="keine Korrektur"</formula>
    </cfRule>
  </conditionalFormatting>
  <conditionalFormatting sqref="S264">
    <cfRule type="expression" dxfId="1399" priority="1295">
      <formula>$S$267="keine Korrektur"</formula>
    </cfRule>
  </conditionalFormatting>
  <conditionalFormatting sqref="S275">
    <cfRule type="expression" dxfId="1398" priority="6477">
      <formula>#REF!="keine Korrektur"</formula>
    </cfRule>
  </conditionalFormatting>
  <conditionalFormatting sqref="S286">
    <cfRule type="expression" dxfId="1397" priority="1291">
      <formula>$S$289="keine Korrektur"</formula>
    </cfRule>
  </conditionalFormatting>
  <conditionalFormatting sqref="S296">
    <cfRule type="cellIs" dxfId="1396" priority="1570" operator="equal">
      <formula>"schlecht"</formula>
    </cfRule>
    <cfRule type="cellIs" dxfId="1395" priority="1568" operator="equal">
      <formula>"mässig"</formula>
    </cfRule>
    <cfRule type="cellIs" dxfId="1394" priority="1569" operator="equal">
      <formula>"gut"</formula>
    </cfRule>
  </conditionalFormatting>
  <conditionalFormatting sqref="S310">
    <cfRule type="expression" dxfId="1392" priority="1280">
      <formula>$S$313="keine Korrektur"</formula>
    </cfRule>
  </conditionalFormatting>
  <conditionalFormatting sqref="S320">
    <cfRule type="cellIs" dxfId="1391" priority="502" operator="equal">
      <formula>"mässig"</formula>
    </cfRule>
    <cfRule type="cellIs" dxfId="1390" priority="504" operator="equal">
      <formula>"schlecht"</formula>
    </cfRule>
    <cfRule type="cellIs" dxfId="1389" priority="503" operator="equal">
      <formula>"gut"</formula>
    </cfRule>
  </conditionalFormatting>
  <conditionalFormatting sqref="S332">
    <cfRule type="expression" dxfId="1388" priority="1270">
      <formula>$S$335="keine Korrektur"</formula>
    </cfRule>
  </conditionalFormatting>
  <conditionalFormatting sqref="S342:S343">
    <cfRule type="cellIs" dxfId="1387" priority="1419" operator="equal">
      <formula>"gut"</formula>
    </cfRule>
    <cfRule type="cellIs" dxfId="1386" priority="1420" operator="equal">
      <formula>"schlecht"</formula>
    </cfRule>
    <cfRule type="cellIs" dxfId="1385" priority="1418" operator="equal">
      <formula>"mässig"</formula>
    </cfRule>
  </conditionalFormatting>
  <conditionalFormatting sqref="S297:T297">
    <cfRule type="cellIs" dxfId="1384" priority="172" operator="equal">
      <formula>"schlecht"</formula>
    </cfRule>
    <cfRule type="cellIs" dxfId="1383" priority="173" operator="equal">
      <formula>"gut"</formula>
    </cfRule>
    <cfRule type="cellIs" dxfId="1382" priority="174" operator="equal">
      <formula>"mässig"</formula>
    </cfRule>
  </conditionalFormatting>
  <conditionalFormatting sqref="T9">
    <cfRule type="cellIs" dxfId="1381" priority="4113" operator="equal">
      <formula>"gut"</formula>
    </cfRule>
    <cfRule type="cellIs" dxfId="1380" priority="4114" operator="equal">
      <formula>"schlecht"</formula>
    </cfRule>
    <cfRule type="cellIs" dxfId="1379" priority="4112" operator="equal">
      <formula>"mässig"</formula>
    </cfRule>
  </conditionalFormatting>
  <conditionalFormatting sqref="T29">
    <cfRule type="cellIs" dxfId="1378" priority="2883" operator="equal">
      <formula>"gut"</formula>
    </cfRule>
    <cfRule type="cellIs" dxfId="1377" priority="2884" operator="equal">
      <formula>"schlecht"</formula>
    </cfRule>
    <cfRule type="cellIs" dxfId="1376" priority="2882" operator="equal">
      <formula>"mässig"</formula>
    </cfRule>
  </conditionalFormatting>
  <conditionalFormatting sqref="T39">
    <cfRule type="cellIs" dxfId="1375" priority="2849" operator="equal">
      <formula>"mässig"</formula>
    </cfRule>
    <cfRule type="cellIs" dxfId="1374" priority="2851" operator="equal">
      <formula>"schlecht"</formula>
    </cfRule>
    <cfRule type="cellIs" dxfId="1373" priority="2850" operator="equal">
      <formula>"gut"</formula>
    </cfRule>
  </conditionalFormatting>
  <conditionalFormatting sqref="T49">
    <cfRule type="cellIs" dxfId="1372" priority="2818" operator="equal">
      <formula>"schlecht"</formula>
    </cfRule>
    <cfRule type="cellIs" dxfId="1371" priority="2817" operator="equal">
      <formula>"gut"</formula>
    </cfRule>
    <cfRule type="cellIs" dxfId="1370" priority="2816" operator="equal">
      <formula>"mässig"</formula>
    </cfRule>
  </conditionalFormatting>
  <conditionalFormatting sqref="T60">
    <cfRule type="cellIs" dxfId="1369" priority="843" operator="equal">
      <formula>"schlecht"</formula>
    </cfRule>
    <cfRule type="cellIs" dxfId="1368" priority="842" operator="equal">
      <formula>"gut"</formula>
    </cfRule>
    <cfRule type="cellIs" dxfId="1367" priority="841" operator="equal">
      <formula>"mässig"</formula>
    </cfRule>
  </conditionalFormatting>
  <conditionalFormatting sqref="T71">
    <cfRule type="cellIs" dxfId="1366" priority="2785" operator="equal">
      <formula>"schlecht"</formula>
    </cfRule>
    <cfRule type="cellIs" dxfId="1365" priority="2784" operator="equal">
      <formula>"gut"</formula>
    </cfRule>
    <cfRule type="cellIs" dxfId="1364" priority="2783" operator="equal">
      <formula>"mässig"</formula>
    </cfRule>
  </conditionalFormatting>
  <conditionalFormatting sqref="T86">
    <cfRule type="cellIs" dxfId="1363" priority="2750" operator="equal">
      <formula>"mässig"</formula>
    </cfRule>
    <cfRule type="cellIs" dxfId="1362" priority="2752" operator="equal">
      <formula>"schlecht"</formula>
    </cfRule>
    <cfRule type="cellIs" dxfId="1361" priority="2751" operator="equal">
      <formula>"gut"</formula>
    </cfRule>
  </conditionalFormatting>
  <conditionalFormatting sqref="T153">
    <cfRule type="cellIs" dxfId="1360" priority="463" operator="equal">
      <formula>"schlecht"</formula>
    </cfRule>
    <cfRule type="cellIs" dxfId="1359" priority="462" operator="equal">
      <formula>"gut"</formula>
    </cfRule>
    <cfRule type="cellIs" dxfId="1358" priority="461" operator="equal">
      <formula>"mässig"</formula>
    </cfRule>
  </conditionalFormatting>
  <conditionalFormatting sqref="T179">
    <cfRule type="cellIs" dxfId="1357" priority="2521" operator="equal">
      <formula>"schlecht"</formula>
    </cfRule>
    <cfRule type="cellIs" dxfId="1356" priority="2519" operator="equal">
      <formula>"mässig"</formula>
    </cfRule>
    <cfRule type="cellIs" dxfId="1355" priority="2520" operator="equal">
      <formula>"gut"</formula>
    </cfRule>
  </conditionalFormatting>
  <conditionalFormatting sqref="T295">
    <cfRule type="cellIs" dxfId="1354" priority="2323" operator="equal">
      <formula>"schlecht"</formula>
    </cfRule>
    <cfRule type="cellIs" dxfId="1353" priority="2322" operator="equal">
      <formula>"gut"</formula>
    </cfRule>
    <cfRule type="cellIs" dxfId="1352" priority="2321" operator="equal">
      <formula>"mässig"</formula>
    </cfRule>
  </conditionalFormatting>
  <conditionalFormatting sqref="T341">
    <cfRule type="cellIs" dxfId="1351" priority="2157" operator="equal">
      <formula>"gut"</formula>
    </cfRule>
    <cfRule type="cellIs" dxfId="1350" priority="2158" operator="equal">
      <formula>"schlecht"</formula>
    </cfRule>
    <cfRule type="cellIs" dxfId="1349" priority="2156" operator="equal">
      <formula>"mässig"</formula>
    </cfRule>
  </conditionalFormatting>
  <conditionalFormatting sqref="U191:W206">
    <cfRule type="expression" dxfId="1348" priority="344">
      <formula>$U$194="DEAKTIVIERT"</formula>
    </cfRule>
  </conditionalFormatting>
  <conditionalFormatting sqref="U211:W223">
    <cfRule type="expression" dxfId="1346" priority="347">
      <formula>$U$214="DEAKTIVIERT"</formula>
    </cfRule>
  </conditionalFormatting>
  <conditionalFormatting sqref="V87">
    <cfRule type="cellIs" dxfId="1345" priority="1961" operator="equal">
      <formula>"mässig"</formula>
    </cfRule>
    <cfRule type="cellIs" dxfId="1344" priority="1962" operator="equal">
      <formula>"gut"</formula>
    </cfRule>
    <cfRule type="cellIs" dxfId="1343" priority="1963" operator="equal">
      <formula>"schlecht"</formula>
    </cfRule>
  </conditionalFormatting>
  <conditionalFormatting sqref="V180">
    <cfRule type="cellIs" dxfId="1342" priority="1740" operator="equal">
      <formula>"gut"</formula>
    </cfRule>
    <cfRule type="cellIs" dxfId="1341" priority="1741" operator="equal">
      <formula>"schlecht"</formula>
    </cfRule>
    <cfRule type="cellIs" dxfId="1340" priority="1739" operator="equal">
      <formula>"mässig"</formula>
    </cfRule>
  </conditionalFormatting>
  <conditionalFormatting sqref="V296:V297">
    <cfRule type="cellIs" dxfId="1337" priority="1565" operator="equal">
      <formula>"mässig"</formula>
    </cfRule>
    <cfRule type="cellIs" dxfId="1336" priority="1566" operator="equal">
      <formula>"gut"</formula>
    </cfRule>
    <cfRule type="cellIs" dxfId="1335" priority="1567" operator="equal">
      <formula>"schlecht"</formula>
    </cfRule>
  </conditionalFormatting>
  <conditionalFormatting sqref="V342">
    <cfRule type="cellIs" dxfId="1334" priority="1416" operator="equal">
      <formula>"gut"</formula>
    </cfRule>
    <cfRule type="cellIs" dxfId="1333" priority="1417" operator="equal">
      <formula>"schlecht"</formula>
    </cfRule>
    <cfRule type="cellIs" dxfId="1332" priority="1415" operator="equal">
      <formula>"mässig"</formula>
    </cfRule>
  </conditionalFormatting>
  <conditionalFormatting sqref="V10:W10">
    <cfRule type="cellIs" dxfId="1330" priority="2109" operator="equal">
      <formula>"gut"</formula>
    </cfRule>
    <cfRule type="cellIs" dxfId="1329" priority="2108" operator="equal">
      <formula>"mässig"</formula>
    </cfRule>
    <cfRule type="cellIs" dxfId="1328" priority="2110" operator="equal">
      <formula>"schlecht"</formula>
    </cfRule>
  </conditionalFormatting>
  <conditionalFormatting sqref="V30:W30">
    <cfRule type="cellIs" dxfId="1327" priority="2078" operator="equal">
      <formula>"mässig"</formula>
    </cfRule>
    <cfRule type="cellIs" dxfId="1326" priority="2079" operator="equal">
      <formula>"gut"</formula>
    </cfRule>
    <cfRule type="cellIs" dxfId="1325" priority="2080" operator="equal">
      <formula>"schlecht"</formula>
    </cfRule>
  </conditionalFormatting>
  <conditionalFormatting sqref="V40:W40">
    <cfRule type="cellIs" dxfId="1324" priority="2048" operator="equal">
      <formula>"mässig"</formula>
    </cfRule>
    <cfRule type="cellIs" dxfId="1323" priority="2050" operator="equal">
      <formula>"schlecht"</formula>
    </cfRule>
    <cfRule type="cellIs" dxfId="1322" priority="2049" operator="equal">
      <formula>"gut"</formula>
    </cfRule>
  </conditionalFormatting>
  <conditionalFormatting sqref="V50:W50">
    <cfRule type="cellIs" dxfId="1321" priority="2018" operator="equal">
      <formula>"mässig"</formula>
    </cfRule>
    <cfRule type="cellIs" dxfId="1320" priority="2019" operator="equal">
      <formula>"gut"</formula>
    </cfRule>
    <cfRule type="cellIs" dxfId="1319" priority="2020" operator="equal">
      <formula>"schlecht"</formula>
    </cfRule>
  </conditionalFormatting>
  <conditionalFormatting sqref="V61:W61">
    <cfRule type="cellIs" dxfId="1318" priority="819" operator="equal">
      <formula>"schlecht"</formula>
    </cfRule>
    <cfRule type="cellIs" dxfId="1317" priority="818" operator="equal">
      <formula>"gut"</formula>
    </cfRule>
    <cfRule type="cellIs" dxfId="1316" priority="817" operator="equal">
      <formula>"mässig"</formula>
    </cfRule>
  </conditionalFormatting>
  <conditionalFormatting sqref="V72:W72">
    <cfRule type="cellIs" dxfId="1315" priority="1990" operator="equal">
      <formula>"schlecht"</formula>
    </cfRule>
    <cfRule type="cellIs" dxfId="1314" priority="1989" operator="equal">
      <formula>"gut"</formula>
    </cfRule>
    <cfRule type="cellIs" dxfId="1313" priority="1988" operator="equal">
      <formula>"mässig"</formula>
    </cfRule>
  </conditionalFormatting>
  <conditionalFormatting sqref="V154:W154">
    <cfRule type="cellIs" dxfId="1312" priority="439" operator="equal">
      <formula>"schlecht"</formula>
    </cfRule>
    <cfRule type="cellIs" dxfId="1311" priority="438" operator="equal">
      <formula>"gut"</formula>
    </cfRule>
    <cfRule type="cellIs" dxfId="1310" priority="437" operator="equal">
      <formula>"mässig"</formula>
    </cfRule>
  </conditionalFormatting>
  <conditionalFormatting sqref="V88:X88">
    <cfRule type="cellIs" dxfId="1308" priority="4969" operator="equal">
      <formula>"mässig"</formula>
    </cfRule>
    <cfRule type="cellIs" dxfId="1307" priority="4967" operator="equal">
      <formula>"schlecht"</formula>
    </cfRule>
    <cfRule type="cellIs" dxfId="1306" priority="4968" operator="equal">
      <formula>"gut"</formula>
    </cfRule>
  </conditionalFormatting>
  <conditionalFormatting sqref="V89:X89">
    <cfRule type="cellIs" dxfId="1305" priority="5035" operator="equal">
      <formula>1</formula>
    </cfRule>
    <cfRule type="cellIs" dxfId="1304" priority="5033" operator="equal">
      <formula>2</formula>
    </cfRule>
    <cfRule type="cellIs" dxfId="1303" priority="5034" operator="equal">
      <formula>3</formula>
    </cfRule>
  </conditionalFormatting>
  <conditionalFormatting sqref="V181:X181">
    <cfRule type="cellIs" dxfId="1302" priority="4228" operator="equal">
      <formula>"mässig"</formula>
    </cfRule>
    <cfRule type="cellIs" dxfId="1301" priority="4226" operator="equal">
      <formula>"schlecht"</formula>
    </cfRule>
    <cfRule type="cellIs" dxfId="1300" priority="4227" operator="equal">
      <formula>"gut"</formula>
    </cfRule>
  </conditionalFormatting>
  <conditionalFormatting sqref="V182:X182">
    <cfRule type="cellIs" dxfId="1299" priority="5376" operator="equal">
      <formula>3</formula>
    </cfRule>
    <cfRule type="cellIs" dxfId="1298" priority="5377" operator="equal">
      <formula>1</formula>
    </cfRule>
    <cfRule type="cellIs" dxfId="1297" priority="5375" operator="equal">
      <formula>2</formula>
    </cfRule>
  </conditionalFormatting>
  <conditionalFormatting sqref="V298:X298">
    <cfRule type="cellIs" dxfId="1296" priority="5288" operator="equal">
      <formula>2</formula>
    </cfRule>
    <cfRule type="cellIs" dxfId="1295" priority="5289" operator="equal">
      <formula>3</formula>
    </cfRule>
    <cfRule type="cellIs" dxfId="1294" priority="5290" operator="equal">
      <formula>1</formula>
    </cfRule>
  </conditionalFormatting>
  <conditionalFormatting sqref="V343:X343">
    <cfRule type="cellIs" dxfId="1293" priority="3254" operator="equal">
      <formula>"schlecht"</formula>
    </cfRule>
    <cfRule type="cellIs" dxfId="1292" priority="3255" operator="equal">
      <formula>"gut"</formula>
    </cfRule>
    <cfRule type="cellIs" dxfId="1291" priority="3256" operator="equal">
      <formula>"mässig"</formula>
    </cfRule>
  </conditionalFormatting>
  <conditionalFormatting sqref="V344:X344">
    <cfRule type="cellIs" dxfId="1290" priority="5175" operator="equal">
      <formula>3</formula>
    </cfRule>
    <cfRule type="cellIs" dxfId="1289" priority="5174" operator="equal">
      <formula>2</formula>
    </cfRule>
    <cfRule type="cellIs" dxfId="1288" priority="5176" operator="equal">
      <formula>1</formula>
    </cfRule>
  </conditionalFormatting>
  <conditionalFormatting sqref="W32">
    <cfRule type="expression" dxfId="1287" priority="1364">
      <formula>$W$34="keine Korrektur"</formula>
    </cfRule>
  </conditionalFormatting>
  <conditionalFormatting sqref="W42">
    <cfRule type="expression" dxfId="1286" priority="1359">
      <formula>$W$44="keine Korrektur"</formula>
    </cfRule>
  </conditionalFormatting>
  <conditionalFormatting sqref="W52">
    <cfRule type="expression" dxfId="1285" priority="1354">
      <formula>$W$55="keine Korrektur"</formula>
    </cfRule>
  </conditionalFormatting>
  <conditionalFormatting sqref="W63">
    <cfRule type="expression" dxfId="1284" priority="807">
      <formula>$W$44="keine Korrektur"</formula>
    </cfRule>
  </conditionalFormatting>
  <conditionalFormatting sqref="W74:W79">
    <cfRule type="expression" dxfId="1283" priority="1349">
      <formula>$W$80="keine Korrektur"</formula>
    </cfRule>
  </conditionalFormatting>
  <conditionalFormatting sqref="W87:W88">
    <cfRule type="cellIs" dxfId="1282" priority="1960" operator="equal">
      <formula>"schlecht"</formula>
    </cfRule>
    <cfRule type="cellIs" dxfId="1281" priority="1959" operator="equal">
      <formula>"gut"</formula>
    </cfRule>
    <cfRule type="cellIs" dxfId="1280" priority="1958" operator="equal">
      <formula>"mässig"</formula>
    </cfRule>
  </conditionalFormatting>
  <conditionalFormatting sqref="W101">
    <cfRule type="expression" dxfId="1279" priority="1344">
      <formula>$W$104="keine Korrektur"</formula>
    </cfRule>
  </conditionalFormatting>
  <conditionalFormatting sqref="W112">
    <cfRule type="expression" dxfId="1278" priority="1339">
      <formula>$W$115="keine Korrektur"</formula>
    </cfRule>
  </conditionalFormatting>
  <conditionalFormatting sqref="W123">
    <cfRule type="expression" dxfId="1277" priority="1334">
      <formula>$W$126="keine Korrektur"</formula>
    </cfRule>
  </conditionalFormatting>
  <conditionalFormatting sqref="W134">
    <cfRule type="expression" dxfId="1276" priority="1329">
      <formula>$W$137="keine Korrektur"</formula>
    </cfRule>
  </conditionalFormatting>
  <conditionalFormatting sqref="W145">
    <cfRule type="expression" dxfId="1275" priority="948">
      <formula>$W$148="keine Korrektur"</formula>
    </cfRule>
  </conditionalFormatting>
  <conditionalFormatting sqref="W156:W161">
    <cfRule type="expression" dxfId="1274" priority="513">
      <formula>$W$162="keine Korrektur"</formula>
    </cfRule>
  </conditionalFormatting>
  <conditionalFormatting sqref="W170">
    <cfRule type="expression" dxfId="1273" priority="761">
      <formula>$W$44="keine Korrektur"</formula>
    </cfRule>
  </conditionalFormatting>
  <conditionalFormatting sqref="W180:W181">
    <cfRule type="cellIs" dxfId="1272" priority="1736" operator="equal">
      <formula>"mässig"</formula>
    </cfRule>
    <cfRule type="cellIs" dxfId="1271" priority="1737" operator="equal">
      <formula>"gut"</formula>
    </cfRule>
    <cfRule type="cellIs" dxfId="1270" priority="1738" operator="equal">
      <formula>"schlecht"</formula>
    </cfRule>
  </conditionalFormatting>
  <conditionalFormatting sqref="W194">
    <cfRule type="expression" dxfId="1269" priority="1314">
      <formula>$W$206="keine Korrektur"</formula>
    </cfRule>
  </conditionalFormatting>
  <conditionalFormatting sqref="W214">
    <cfRule type="expression" dxfId="1268" priority="394">
      <formula>$W$206="keine Korrektur"</formula>
    </cfRule>
  </conditionalFormatting>
  <conditionalFormatting sqref="W231">
    <cfRule type="expression" dxfId="1267" priority="1309">
      <formula>$W$234="keine Korrektur"</formula>
    </cfRule>
  </conditionalFormatting>
  <conditionalFormatting sqref="W242">
    <cfRule type="expression" dxfId="1266" priority="1304">
      <formula>$W$245="keine Korrektur"</formula>
    </cfRule>
  </conditionalFormatting>
  <conditionalFormatting sqref="W253">
    <cfRule type="expression" dxfId="1265" priority="1299">
      <formula>$W$256="keine Korrektur"</formula>
    </cfRule>
  </conditionalFormatting>
  <conditionalFormatting sqref="W264">
    <cfRule type="expression" dxfId="1264" priority="1294">
      <formula>$W$267="keine Korrektur"</formula>
    </cfRule>
  </conditionalFormatting>
  <conditionalFormatting sqref="W275">
    <cfRule type="expression" dxfId="1263" priority="6478">
      <formula>#REF!="keine Korrektur"</formula>
    </cfRule>
  </conditionalFormatting>
  <conditionalFormatting sqref="W286">
    <cfRule type="expression" dxfId="1262" priority="1290">
      <formula>$W$289="keine Korrektur"</formula>
    </cfRule>
  </conditionalFormatting>
  <conditionalFormatting sqref="W296">
    <cfRule type="cellIs" dxfId="1261" priority="1563" operator="equal">
      <formula>"gut"</formula>
    </cfRule>
    <cfRule type="cellIs" dxfId="1260" priority="1562" operator="equal">
      <formula>"mässig"</formula>
    </cfRule>
    <cfRule type="cellIs" dxfId="1259" priority="1564" operator="equal">
      <formula>"schlecht"</formula>
    </cfRule>
  </conditionalFormatting>
  <conditionalFormatting sqref="W310">
    <cfRule type="expression" dxfId="1257" priority="1279">
      <formula>$W$313="keine Korrektur"</formula>
    </cfRule>
  </conditionalFormatting>
  <conditionalFormatting sqref="W320">
    <cfRule type="cellIs" dxfId="1256" priority="499" operator="equal">
      <formula>"gut"</formula>
    </cfRule>
    <cfRule type="cellIs" dxfId="1255" priority="498" operator="equal">
      <formula>"mässig"</formula>
    </cfRule>
    <cfRule type="cellIs" dxfId="1254" priority="500" operator="equal">
      <formula>"schlecht"</formula>
    </cfRule>
  </conditionalFormatting>
  <conditionalFormatting sqref="W332">
    <cfRule type="expression" dxfId="1253" priority="1269">
      <formula>$W$335="keine Korrektur"</formula>
    </cfRule>
  </conditionalFormatting>
  <conditionalFormatting sqref="W342:W343">
    <cfRule type="cellIs" dxfId="1252" priority="1414" operator="equal">
      <formula>"schlecht"</formula>
    </cfRule>
    <cfRule type="cellIs" dxfId="1251" priority="1413" operator="equal">
      <formula>"gut"</formula>
    </cfRule>
    <cfRule type="cellIs" dxfId="1250" priority="1412" operator="equal">
      <formula>"mässig"</formula>
    </cfRule>
  </conditionalFormatting>
  <conditionalFormatting sqref="W297:X297">
    <cfRule type="cellIs" dxfId="1249" priority="258" operator="equal">
      <formula>"gut"</formula>
    </cfRule>
    <cfRule type="cellIs" dxfId="1248" priority="257" operator="equal">
      <formula>"schlecht"</formula>
    </cfRule>
    <cfRule type="cellIs" dxfId="1247" priority="259" operator="equal">
      <formula>"mässig"</formula>
    </cfRule>
  </conditionalFormatting>
  <conditionalFormatting sqref="Y191:AA206">
    <cfRule type="expression" dxfId="1246" priority="345">
      <formula>$Y$194="DEAKTIVIERT"</formula>
    </cfRule>
  </conditionalFormatting>
  <conditionalFormatting sqref="Y211:AA223">
    <cfRule type="expression" dxfId="1244" priority="346">
      <formula>$Y$214="DEAKTIVIERT"</formula>
    </cfRule>
  </conditionalFormatting>
  <conditionalFormatting sqref="Z87">
    <cfRule type="cellIs" dxfId="1243" priority="1956" operator="equal">
      <formula>"gut"</formula>
    </cfRule>
    <cfRule type="cellIs" dxfId="1242" priority="1955" operator="equal">
      <formula>"mässig"</formula>
    </cfRule>
    <cfRule type="cellIs" dxfId="1241" priority="1957" operator="equal">
      <formula>"schlecht"</formula>
    </cfRule>
  </conditionalFormatting>
  <conditionalFormatting sqref="Z180">
    <cfRule type="cellIs" dxfId="1240" priority="1745" operator="equal">
      <formula>"mässig"</formula>
    </cfRule>
    <cfRule type="cellIs" dxfId="1239" priority="1746" operator="equal">
      <formula>"gut"</formula>
    </cfRule>
    <cfRule type="cellIs" dxfId="1238" priority="1747" operator="equal">
      <formula>"schlecht"</formula>
    </cfRule>
  </conditionalFormatting>
  <conditionalFormatting sqref="Z296">
    <cfRule type="cellIs" dxfId="1235" priority="1561" operator="equal">
      <formula>"schlecht"</formula>
    </cfRule>
    <cfRule type="cellIs" dxfId="1234" priority="1560" operator="equal">
      <formula>"gut"</formula>
    </cfRule>
    <cfRule type="cellIs" dxfId="1233" priority="1559" operator="equal">
      <formula>"mässig"</formula>
    </cfRule>
  </conditionalFormatting>
  <conditionalFormatting sqref="Z342">
    <cfRule type="cellIs" dxfId="1232" priority="1409" operator="equal">
      <formula>"mässig"</formula>
    </cfRule>
    <cfRule type="cellIs" dxfId="1231" priority="1411" operator="equal">
      <formula>"schlecht"</formula>
    </cfRule>
    <cfRule type="cellIs" dxfId="1230" priority="1410" operator="equal">
      <formula>"gut"</formula>
    </cfRule>
  </conditionalFormatting>
  <conditionalFormatting sqref="Z10:AA10">
    <cfRule type="cellIs" dxfId="1228" priority="2104" operator="equal">
      <formula>"schlecht"</formula>
    </cfRule>
    <cfRule type="cellIs" dxfId="1227" priority="2103" operator="equal">
      <formula>"gut"</formula>
    </cfRule>
    <cfRule type="cellIs" dxfId="1226" priority="2102" operator="equal">
      <formula>"mässig"</formula>
    </cfRule>
  </conditionalFormatting>
  <conditionalFormatting sqref="Z30:AA30">
    <cfRule type="cellIs" dxfId="1225" priority="2073" operator="equal">
      <formula>"gut"</formula>
    </cfRule>
    <cfRule type="cellIs" dxfId="1224" priority="2074" operator="equal">
      <formula>"schlecht"</formula>
    </cfRule>
    <cfRule type="cellIs" dxfId="1223" priority="2072" operator="equal">
      <formula>"mässig"</formula>
    </cfRule>
  </conditionalFormatting>
  <conditionalFormatting sqref="Z40:AA40">
    <cfRule type="cellIs" dxfId="1222" priority="2044" operator="equal">
      <formula>"schlecht"</formula>
    </cfRule>
    <cfRule type="cellIs" dxfId="1221" priority="2043" operator="equal">
      <formula>"gut"</formula>
    </cfRule>
    <cfRule type="cellIs" dxfId="1220" priority="2042" operator="equal">
      <formula>"mässig"</formula>
    </cfRule>
  </conditionalFormatting>
  <conditionalFormatting sqref="Z50:AA50">
    <cfRule type="cellIs" dxfId="1219" priority="2014" operator="equal">
      <formula>"schlecht"</formula>
    </cfRule>
    <cfRule type="cellIs" dxfId="1218" priority="2012" operator="equal">
      <formula>"mässig"</formula>
    </cfRule>
    <cfRule type="cellIs" dxfId="1217" priority="2013" operator="equal">
      <formula>"gut"</formula>
    </cfRule>
  </conditionalFormatting>
  <conditionalFormatting sqref="Z61:AA61">
    <cfRule type="cellIs" dxfId="1216" priority="811" operator="equal">
      <formula>"mässig"</formula>
    </cfRule>
    <cfRule type="cellIs" dxfId="1215" priority="812" operator="equal">
      <formula>"gut"</formula>
    </cfRule>
    <cfRule type="cellIs" dxfId="1214" priority="813" operator="equal">
      <formula>"schlecht"</formula>
    </cfRule>
  </conditionalFormatting>
  <conditionalFormatting sqref="Z72:AA72">
    <cfRule type="cellIs" dxfId="1213" priority="1982" operator="equal">
      <formula>"mässig"</formula>
    </cfRule>
    <cfRule type="cellIs" dxfId="1212" priority="1984" operator="equal">
      <formula>"schlecht"</formula>
    </cfRule>
    <cfRule type="cellIs" dxfId="1211" priority="1983" operator="equal">
      <formula>"gut"</formula>
    </cfRule>
  </conditionalFormatting>
  <conditionalFormatting sqref="Z88:AA88">
    <cfRule type="cellIs" dxfId="1210" priority="4964" operator="equal">
      <formula>"schlecht"</formula>
    </cfRule>
    <cfRule type="cellIs" dxfId="1209" priority="4966" operator="equal">
      <formula>"mässig"</formula>
    </cfRule>
    <cfRule type="cellIs" dxfId="1208" priority="4965" operator="equal">
      <formula>"gut"</formula>
    </cfRule>
  </conditionalFormatting>
  <conditionalFormatting sqref="Z89:AA89">
    <cfRule type="cellIs" dxfId="1207" priority="5030" operator="equal">
      <formula>2</formula>
    </cfRule>
    <cfRule type="cellIs" dxfId="1206" priority="5032" operator="equal">
      <formula>1</formula>
    </cfRule>
    <cfRule type="cellIs" dxfId="1205" priority="5031" operator="equal">
      <formula>3</formula>
    </cfRule>
  </conditionalFormatting>
  <conditionalFormatting sqref="Z154:AA154">
    <cfRule type="cellIs" dxfId="1204" priority="431" operator="equal">
      <formula>"mässig"</formula>
    </cfRule>
    <cfRule type="cellIs" dxfId="1203" priority="433" operator="equal">
      <formula>"schlecht"</formula>
    </cfRule>
    <cfRule type="cellIs" dxfId="1202" priority="432" operator="equal">
      <formula>"gut"</formula>
    </cfRule>
  </conditionalFormatting>
  <conditionalFormatting sqref="Z181:AA181">
    <cfRule type="cellIs" dxfId="1201" priority="4225" operator="equal">
      <formula>"mässig"</formula>
    </cfRule>
    <cfRule type="cellIs" dxfId="1200" priority="4224" operator="equal">
      <formula>"gut"</formula>
    </cfRule>
    <cfRule type="cellIs" dxfId="1199" priority="4223" operator="equal">
      <formula>"schlecht"</formula>
    </cfRule>
  </conditionalFormatting>
  <conditionalFormatting sqref="Z182:AA182">
    <cfRule type="cellIs" dxfId="1198" priority="5372" operator="equal">
      <formula>2</formula>
    </cfRule>
    <cfRule type="cellIs" dxfId="1197" priority="5373" operator="equal">
      <formula>3</formula>
    </cfRule>
    <cfRule type="cellIs" dxfId="1196" priority="5374" operator="equal">
      <formula>1</formula>
    </cfRule>
  </conditionalFormatting>
  <conditionalFormatting sqref="Z297:AA297">
    <cfRule type="cellIs" dxfId="1194" priority="4321" operator="equal">
      <formula>"mässig"</formula>
    </cfRule>
    <cfRule type="cellIs" dxfId="1193" priority="4319" operator="equal">
      <formula>"schlecht"</formula>
    </cfRule>
    <cfRule type="cellIs" dxfId="1192" priority="4320" operator="equal">
      <formula>"gut"</formula>
    </cfRule>
  </conditionalFormatting>
  <conditionalFormatting sqref="Z298:AA298">
    <cfRule type="cellIs" dxfId="1191" priority="5287" operator="equal">
      <formula>1</formula>
    </cfRule>
    <cfRule type="cellIs" dxfId="1190" priority="5286" operator="equal">
      <formula>3</formula>
    </cfRule>
    <cfRule type="cellIs" dxfId="1189" priority="5285" operator="equal">
      <formula>2</formula>
    </cfRule>
  </conditionalFormatting>
  <conditionalFormatting sqref="Z343:AA343">
    <cfRule type="cellIs" dxfId="1188" priority="3251" operator="equal">
      <formula>"schlecht"</formula>
    </cfRule>
    <cfRule type="cellIs" dxfId="1187" priority="3253" operator="equal">
      <formula>"mässig"</formula>
    </cfRule>
    <cfRule type="cellIs" dxfId="1186" priority="3252" operator="equal">
      <formula>"gut"</formula>
    </cfRule>
  </conditionalFormatting>
  <conditionalFormatting sqref="Z344:AA344">
    <cfRule type="cellIs" dxfId="1185" priority="5173" operator="equal">
      <formula>1</formula>
    </cfRule>
    <cfRule type="cellIs" dxfId="1184" priority="5171" operator="equal">
      <formula>2</formula>
    </cfRule>
    <cfRule type="cellIs" dxfId="1183" priority="5172" operator="equal">
      <formula>3</formula>
    </cfRule>
  </conditionalFormatting>
  <conditionalFormatting sqref="AA32">
    <cfRule type="expression" dxfId="1182" priority="1363">
      <formula>$AA$34="keine Korrektur"</formula>
    </cfRule>
  </conditionalFormatting>
  <conditionalFormatting sqref="AA42">
    <cfRule type="expression" dxfId="1181" priority="1358">
      <formula>$AA$44="keine Korrektur"</formula>
    </cfRule>
  </conditionalFormatting>
  <conditionalFormatting sqref="AA52">
    <cfRule type="expression" dxfId="1180" priority="1353">
      <formula>$AA$55="keine Korrektur"</formula>
    </cfRule>
  </conditionalFormatting>
  <conditionalFormatting sqref="AA63">
    <cfRule type="expression" dxfId="1179" priority="806">
      <formula>$AA$44="keine Korrektur"</formula>
    </cfRule>
  </conditionalFormatting>
  <conditionalFormatting sqref="AA74">
    <cfRule type="expression" dxfId="1178" priority="1348">
      <formula>$AA$80="keine Korrektur"</formula>
    </cfRule>
  </conditionalFormatting>
  <conditionalFormatting sqref="AA87:AA88">
    <cfRule type="cellIs" dxfId="1177" priority="1953" operator="equal">
      <formula>"gut"</formula>
    </cfRule>
    <cfRule type="cellIs" dxfId="1176" priority="1952" operator="equal">
      <formula>"mässig"</formula>
    </cfRule>
    <cfRule type="cellIs" dxfId="1175" priority="1954" operator="equal">
      <formula>"schlecht"</formula>
    </cfRule>
  </conditionalFormatting>
  <conditionalFormatting sqref="AA101">
    <cfRule type="expression" dxfId="1174" priority="1343">
      <formula>$AA$104="keine Korrektur"</formula>
    </cfRule>
  </conditionalFormatting>
  <conditionalFormatting sqref="AA112">
    <cfRule type="expression" dxfId="1173" priority="1338">
      <formula>$AA$115="keine Korrektur"</formula>
    </cfRule>
  </conditionalFormatting>
  <conditionalFormatting sqref="AA123">
    <cfRule type="expression" dxfId="1172" priority="1333">
      <formula>$AA$126="keine Korrektur"</formula>
    </cfRule>
  </conditionalFormatting>
  <conditionalFormatting sqref="AA134">
    <cfRule type="expression" dxfId="1171" priority="1328">
      <formula>$AA$137="keine Korrektur"</formula>
    </cfRule>
  </conditionalFormatting>
  <conditionalFormatting sqref="AA145">
    <cfRule type="expression" dxfId="1170" priority="947">
      <formula>$AA$148="keine Korrektur"</formula>
    </cfRule>
  </conditionalFormatting>
  <conditionalFormatting sqref="AA156">
    <cfRule type="expression" dxfId="1169" priority="517">
      <formula>$AA$162="keine Korrektur"</formula>
    </cfRule>
  </conditionalFormatting>
  <conditionalFormatting sqref="AA170">
    <cfRule type="expression" dxfId="1168" priority="1262">
      <formula>$AA$44="keine Korrektur"</formula>
    </cfRule>
  </conditionalFormatting>
  <conditionalFormatting sqref="AA180:AA181">
    <cfRule type="cellIs" dxfId="1167" priority="1744" operator="equal">
      <formula>"schlecht"</formula>
    </cfRule>
    <cfRule type="cellIs" dxfId="1166" priority="1743" operator="equal">
      <formula>"gut"</formula>
    </cfRule>
    <cfRule type="cellIs" dxfId="1165" priority="1742" operator="equal">
      <formula>"mässig"</formula>
    </cfRule>
  </conditionalFormatting>
  <conditionalFormatting sqref="AA194">
    <cfRule type="expression" dxfId="1164" priority="1313">
      <formula>$AA$206="keine Korrektur"</formula>
    </cfRule>
  </conditionalFormatting>
  <conditionalFormatting sqref="AA214">
    <cfRule type="expression" dxfId="1163" priority="390">
      <formula>$AA$206="keine Korrektur"</formula>
    </cfRule>
  </conditionalFormatting>
  <conditionalFormatting sqref="AA231">
    <cfRule type="expression" dxfId="1162" priority="1308">
      <formula>$AA$234="keine Korrektur"</formula>
    </cfRule>
  </conditionalFormatting>
  <conditionalFormatting sqref="AA242">
    <cfRule type="expression" dxfId="1161" priority="1303">
      <formula>$AA$245="keine Korrektur"</formula>
    </cfRule>
  </conditionalFormatting>
  <conditionalFormatting sqref="AA253">
    <cfRule type="expression" dxfId="1160" priority="1298">
      <formula>$AA$256="keine Korrektur"</formula>
    </cfRule>
  </conditionalFormatting>
  <conditionalFormatting sqref="AA264">
    <cfRule type="expression" dxfId="1159" priority="1293">
      <formula>$AA$267="keine Korrektur"</formula>
    </cfRule>
  </conditionalFormatting>
  <conditionalFormatting sqref="AA275">
    <cfRule type="expression" dxfId="1158" priority="6479">
      <formula>#REF!="keine Korrektur"</formula>
    </cfRule>
  </conditionalFormatting>
  <conditionalFormatting sqref="AA286">
    <cfRule type="expression" dxfId="1157" priority="1368">
      <formula>$AA$289="keine Korrektur"</formula>
    </cfRule>
  </conditionalFormatting>
  <conditionalFormatting sqref="AA296:AA297">
    <cfRule type="cellIs" dxfId="1156" priority="1556" operator="equal">
      <formula>"mässig"</formula>
    </cfRule>
    <cfRule type="cellIs" dxfId="1155" priority="1557" operator="equal">
      <formula>"gut"</formula>
    </cfRule>
    <cfRule type="cellIs" dxfId="1154" priority="1558" operator="equal">
      <formula>"schlecht"</formula>
    </cfRule>
  </conditionalFormatting>
  <conditionalFormatting sqref="AA310">
    <cfRule type="expression" dxfId="1153" priority="1278">
      <formula>$AA$313="keine Korrektur"</formula>
    </cfRule>
  </conditionalFormatting>
  <conditionalFormatting sqref="AA320">
    <cfRule type="cellIs" dxfId="1152" priority="494" operator="equal">
      <formula>"mässig"</formula>
    </cfRule>
    <cfRule type="cellIs" dxfId="1151" priority="495" operator="equal">
      <formula>"gut"</formula>
    </cfRule>
    <cfRule type="cellIs" dxfId="1150" priority="496" operator="equal">
      <formula>"schlecht"</formula>
    </cfRule>
  </conditionalFormatting>
  <conditionalFormatting sqref="AA332">
    <cfRule type="expression" dxfId="1149" priority="1268">
      <formula>$AA$335="keine Korrektur"</formula>
    </cfRule>
  </conditionalFormatting>
  <conditionalFormatting sqref="AA342:AA343">
    <cfRule type="cellIs" dxfId="1148" priority="1407" operator="equal">
      <formula>"gut"</formula>
    </cfRule>
    <cfRule type="cellIs" dxfId="1147" priority="1406" operator="equal">
      <formula>"mässig"</formula>
    </cfRule>
    <cfRule type="cellIs" dxfId="1146" priority="1408" operator="equal">
      <formula>"schlecht"</formula>
    </cfRule>
  </conditionalFormatting>
  <conditionalFormatting sqref="AC278:AC279">
    <cfRule type="cellIs" dxfId="1145" priority="1085" operator="equal">
      <formula>"schlecht"</formula>
    </cfRule>
    <cfRule type="cellIs" dxfId="1144" priority="1084" operator="equal">
      <formula>"gut"</formula>
    </cfRule>
    <cfRule type="cellIs" dxfId="1143" priority="1083" operator="equal">
      <formula>"mässig"</formula>
    </cfRule>
  </conditionalFormatting>
  <dataValidations count="2">
    <dataValidation type="list" allowBlank="1" showInputMessage="1" showErrorMessage="1" sqref="O206 S206 W206 K223 AA173 O234 S234 W234 AA234 K206 O245 S245 W245 AA245 K234 K313 S313 W313 AA313 O289 O66 S66 W66 AA66 O55 O335 W173 S173 O173 O313 O104 S104 W104 AA104 K80 O115 S115 W115 AA115 K104 O126 S126 W126 AA126 K115 O137 S137 W137 AA137 K126 K137 AA148 W148 S148 O148 S55 W55 AA55 K55 K278 O80 S80 W80 AA80 K66 O278 S278 W278 O267 K173 K256 S256 W256 AA256 K245 K267 S267 W267 AA267 O256 K335 S335 W335 AA335 K148 K289 S289 W289 AA289 AA278 K162 O162 S162 W162 AA162 O223 S223 W223 AA223 AA206" xr:uid="{987E4FD2-5DC6-4A3E-B020-F9C5A185619F}">
      <formula1>"keine Korrektur, gut, mässig, schlecht"</formula1>
    </dataValidation>
    <dataValidation type="list" allowBlank="1" showInputMessage="1" showErrorMessage="1" sqref="K34 O34 S34 W34 AA34 K44 O44 S44 W44 AA44" xr:uid="{0005EF8E-21ED-49F3-9277-CDD92868BA6A}">
      <formula1>"keine Korrektur, gut, schlecht"</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7" id="{F99127AF-DE4A-4BF9-8F46-206E6F4D40AA}">
            <xm:f>ISBLANK('(3) Variantenbewertung'!$I$11)=TRUE</xm:f>
            <x14:dxf>
              <font>
                <color theme="0" tint="-4.9989318521683403E-2"/>
              </font>
              <fill>
                <patternFill>
                  <bgColor theme="0" tint="-4.9989318521683403E-2"/>
                </patternFill>
              </fill>
              <border>
                <left/>
                <right/>
                <top/>
                <bottom/>
              </border>
            </x14:dxf>
          </x14:cfRule>
          <xm:sqref>I156:I161</xm:sqref>
        </x14:conditionalFormatting>
        <x14:conditionalFormatting xmlns:xm="http://schemas.microsoft.com/office/excel/2006/main">
          <x14:cfRule type="expression" priority="1261" id="{863D0395-0B4A-489B-AC91-463E6D4DB4C8}">
            <xm:f>ISBLANK('(3) Variantenbewertung'!$I$11)=TRUE</xm:f>
            <x14:dxf>
              <font>
                <color theme="0" tint="-0.14996795556505021"/>
              </font>
              <fill>
                <patternFill>
                  <bgColor theme="0" tint="-0.14996795556505021"/>
                </patternFill>
              </fill>
              <border>
                <left/>
                <right/>
                <top/>
                <bottom/>
                <vertical/>
                <horizontal/>
              </border>
            </x14:dxf>
          </x14:cfRule>
          <xm:sqref>I9:K16 I86:K89 I179:K182 I295:K296 I297:J297 I298:K298 I341:K344</xm:sqref>
        </x14:conditionalFormatting>
        <x14:conditionalFormatting xmlns:xm="http://schemas.microsoft.com/office/excel/2006/main">
          <x14:cfRule type="expression" priority="406" id="{026ACF6F-4418-4AA8-ACF9-DF071D94826F}">
            <xm:f>ISBLANK('(3) Variantenbewertung'!$I$11)=TRUE</xm:f>
            <x14:dxf>
              <font>
                <color theme="0" tint="-4.9989318521683403E-2"/>
              </font>
              <fill>
                <patternFill>
                  <bgColor theme="0" tint="-4.9989318521683403E-2"/>
                </patternFill>
              </fill>
              <border>
                <left/>
                <right/>
                <top/>
                <bottom/>
              </border>
            </x14:dxf>
          </x14:cfRule>
          <xm:sqref>I211:K223 I29:K34 I39:K44 I49:K55 I60:K66 I71:K80 I98:K104 I109:K115 I120:K126 I131:K137 I142:K148 I153:K162 I167:K173 I191:K206 I228:K234 I239:K245 I250:K256 I261:K267 I272:K278 I283:K289 I307:K313 J318:K324 J329:K335</xm:sqref>
        </x14:conditionalFormatting>
        <x14:conditionalFormatting xmlns:xm="http://schemas.microsoft.com/office/excel/2006/main">
          <x14:cfRule type="expression" priority="405" id="{7C4665D3-DEB5-4E1E-B511-B437CD3B92BE}">
            <xm:f>ISBLANK('(3) Variantenbewertung'!$I$11)=TRUE</xm:f>
            <x14:dxf>
              <font>
                <color theme="0" tint="-4.9989318521683403E-2"/>
              </font>
              <fill>
                <patternFill>
                  <bgColor theme="0" tint="-4.9989318521683403E-2"/>
                </patternFill>
              </fill>
              <border>
                <left/>
                <right/>
                <top/>
                <bottom/>
              </border>
            </x14:dxf>
          </x14:cfRule>
          <xm:sqref>J162</xm:sqref>
        </x14:conditionalFormatting>
        <x14:conditionalFormatting xmlns:xm="http://schemas.microsoft.com/office/excel/2006/main">
          <x14:cfRule type="expression" priority="551" id="{B43374B3-2921-40B6-9FE4-F2A1935DF800}">
            <xm:f>'(3) Variantenbewertung'!$I$24="nein"</xm:f>
            <x14:dxf>
              <font>
                <color theme="0" tint="-4.9989318521683403E-2"/>
              </font>
              <fill>
                <patternFill>
                  <bgColor theme="0" tint="-4.9989318521683403E-2"/>
                </patternFill>
              </fill>
              <border>
                <left/>
                <right/>
                <top/>
                <bottom/>
              </border>
            </x14:dxf>
          </x14:cfRule>
          <xm:sqref>J283:K289</xm:sqref>
        </x14:conditionalFormatting>
        <x14:conditionalFormatting xmlns:xm="http://schemas.microsoft.com/office/excel/2006/main">
          <x14:cfRule type="expression" priority="1" id="{9F520C07-AD66-41A0-83B2-A1073DDAE28C}">
            <xm:f>ISBLANK('(3) Variantenbewertung'!$U$11)=TRUE</xm:f>
            <x14:dxf>
              <font>
                <color theme="0" tint="-0.14996795556505021"/>
              </font>
              <fill>
                <patternFill>
                  <bgColor theme="0" tint="-0.14996795556505021"/>
                </patternFill>
              </fill>
              <border>
                <left/>
                <right/>
                <top/>
                <bottom/>
                <vertical/>
                <horizontal/>
              </border>
            </x14:dxf>
          </x14:cfRule>
          <xm:sqref>K297</xm:sqref>
        </x14:conditionalFormatting>
        <x14:conditionalFormatting xmlns:xm="http://schemas.microsoft.com/office/excel/2006/main">
          <x14:cfRule type="expression" priority="387" id="{3DC04492-0DCB-404D-9045-7F5489254B50}">
            <xm:f>ISBLANK('(3) Variantenbewertung'!$L$11)=TRUE</xm:f>
            <x14:dxf>
              <font>
                <color theme="0" tint="-4.9989318521683403E-2"/>
              </font>
              <fill>
                <patternFill>
                  <bgColor theme="0" tint="-4.9989318521683403E-2"/>
                </patternFill>
              </fill>
              <border>
                <left/>
                <right/>
                <top/>
                <bottom/>
                <vertical/>
                <horizontal/>
              </border>
            </x14:dxf>
          </x14:cfRule>
          <xm:sqref>M211:O223 M29:O34 M39:O44 M49:O55 M60:O66 M71:O80 M98:O104 M109:O115 M120:O126 M131:O137 M142:O148 M153:O162 M167:O173 M191:O206 M228:O234 M239:O245 M250:O256 M261:O267 M272:O278 M283:O289 M307:O313 N318:O324 N329:O335</xm:sqref>
        </x14:conditionalFormatting>
        <x14:conditionalFormatting xmlns:xm="http://schemas.microsoft.com/office/excel/2006/main">
          <x14:cfRule type="expression" priority="358" id="{2F0DBFCF-5C83-4E5B-B1B0-8BAA3FEB0F2B}">
            <xm:f>ISBLANK('(3) Variantenbewertung'!$L$11)=TRUE</xm:f>
            <x14:dxf>
              <font>
                <color theme="0" tint="-4.9989318521683403E-2"/>
              </font>
              <fill>
                <patternFill>
                  <bgColor theme="0" tint="-4.9989318521683403E-2"/>
                </patternFill>
              </fill>
              <border>
                <left/>
                <right/>
                <top/>
                <bottom/>
                <vertical/>
                <horizontal/>
              </border>
            </x14:dxf>
          </x14:cfRule>
          <xm:sqref>N223</xm:sqref>
        </x14:conditionalFormatting>
        <x14:conditionalFormatting xmlns:xm="http://schemas.microsoft.com/office/excel/2006/main">
          <x14:cfRule type="expression" priority="354" id="{29293477-A4AE-4A74-BF82-32F408A9A264}">
            <xm:f>ISBLANK('(3) Variantenbewertung'!$I$11)=TRUE</xm:f>
            <x14:dxf>
              <font>
                <color theme="0" tint="-4.9989318521683403E-2"/>
              </font>
              <fill>
                <patternFill>
                  <bgColor theme="0" tint="-4.9989318521683403E-2"/>
                </patternFill>
              </fill>
              <border>
                <left/>
                <right/>
                <top/>
                <bottom/>
              </border>
            </x14:dxf>
          </x14:cfRule>
          <xm:sqref>N245</xm:sqref>
        </x14:conditionalFormatting>
        <x14:conditionalFormatting xmlns:xm="http://schemas.microsoft.com/office/excel/2006/main">
          <x14:cfRule type="expression" priority="1260" id="{28D2C0DA-3471-4959-B3AF-589047EF1B9A}">
            <xm:f>ISBLANK('(3) Variantenbewertung'!$L$11)=TRUE</xm:f>
            <x14:dxf>
              <font>
                <color theme="0" tint="-0.14996795556505021"/>
              </font>
              <fill>
                <patternFill>
                  <bgColor theme="0" tint="-0.14996795556505021"/>
                </patternFill>
              </fill>
              <border>
                <left/>
                <right/>
                <top/>
                <bottom/>
                <vertical/>
                <horizontal/>
              </border>
            </x14:dxf>
          </x14:cfRule>
          <xm:sqref>N9:O16 N86:O89 N179:O182 N295:O296 N297 N298:O298 N341:O344</xm:sqref>
        </x14:conditionalFormatting>
        <x14:conditionalFormatting xmlns:xm="http://schemas.microsoft.com/office/excel/2006/main">
          <x14:cfRule type="expression" priority="552" id="{0F7FF56F-518C-4D7C-A50C-B8623EA42C5E}">
            <xm:f>'(3) Variantenbewertung'!$L$24="nein"</xm:f>
            <x14:dxf>
              <font>
                <color theme="0" tint="-4.9989318521683403E-2"/>
              </font>
              <fill>
                <patternFill>
                  <bgColor theme="0" tint="-4.9989318521683403E-2"/>
                </patternFill>
              </fill>
              <border>
                <left/>
                <right/>
                <top/>
                <bottom/>
              </border>
            </x14:dxf>
          </x14:cfRule>
          <xm:sqref>N283:O289</xm:sqref>
        </x14:conditionalFormatting>
        <x14:conditionalFormatting xmlns:xm="http://schemas.microsoft.com/office/excel/2006/main">
          <x14:cfRule type="expression" priority="86" id="{3FFB3900-17BE-4692-A834-0B3C6AF78F57}">
            <xm:f>ISBLANK('(3) Variantenbewertung'!$U$11)=TRUE</xm:f>
            <x14:dxf>
              <font>
                <color theme="0" tint="-0.14996795556505021"/>
              </font>
              <fill>
                <patternFill>
                  <bgColor theme="0" tint="-0.14996795556505021"/>
                </patternFill>
              </fill>
              <border>
                <left/>
                <right/>
                <top/>
                <bottom/>
                <vertical/>
                <horizontal/>
              </border>
            </x14:dxf>
          </x14:cfRule>
          <xm:sqref>O297</xm:sqref>
        </x14:conditionalFormatting>
        <x14:conditionalFormatting xmlns:xm="http://schemas.microsoft.com/office/excel/2006/main">
          <x14:cfRule type="expression" priority="386" id="{617A6BA2-9B6A-477A-96EA-CF10D775AA9D}">
            <xm:f>ISBLANK('(3) Variantenbewertung'!$O$11)=TRUE</xm:f>
            <x14:dxf>
              <font>
                <color theme="0" tint="-4.9989318521683403E-2"/>
              </font>
              <fill>
                <patternFill>
                  <bgColor theme="0" tint="-4.9989318521683403E-2"/>
                </patternFill>
              </fill>
              <border>
                <left/>
                <right/>
                <top/>
                <bottom/>
                <vertical/>
                <horizontal/>
              </border>
            </x14:dxf>
          </x14:cfRule>
          <xm:sqref>Q211:S223 Q29:S34 Q39:S44 Q49:S55 Q60:S66 Q71:S80 Q98:S104 Q109:S115 Q120:S126 Q131:S137 Q142:S148 Q153:S162 Q167:S173 Q191:S206 Q228:S234 Q239:S245 Q250:S256 Q261:S267 Q272:S278 Q283:S289 Q307:S313 R318:S324 R329:S335</xm:sqref>
        </x14:conditionalFormatting>
        <x14:conditionalFormatting xmlns:xm="http://schemas.microsoft.com/office/excel/2006/main">
          <x14:cfRule type="expression" priority="357" id="{7E28346A-6EB9-498E-A3E0-E1CE8DDD44C3}">
            <xm:f>ISBLANK('(3) Variantenbewertung'!$O$11)=TRUE</xm:f>
            <x14:dxf>
              <font>
                <color theme="0" tint="-4.9989318521683403E-2"/>
              </font>
              <fill>
                <patternFill>
                  <bgColor theme="0" tint="-4.9989318521683403E-2"/>
                </patternFill>
              </fill>
              <border>
                <left/>
                <right/>
                <top/>
                <bottom/>
                <vertical/>
                <horizontal/>
              </border>
            </x14:dxf>
          </x14:cfRule>
          <xm:sqref>R223</xm:sqref>
        </x14:conditionalFormatting>
        <x14:conditionalFormatting xmlns:xm="http://schemas.microsoft.com/office/excel/2006/main">
          <x14:cfRule type="expression" priority="353" id="{6451A3A5-1191-47F0-A6CD-0A1151B81968}">
            <xm:f>ISBLANK('(3) Variantenbewertung'!$I$11)=TRUE</xm:f>
            <x14:dxf>
              <font>
                <color theme="0" tint="-4.9989318521683403E-2"/>
              </font>
              <fill>
                <patternFill>
                  <bgColor theme="0" tint="-4.9989318521683403E-2"/>
                </patternFill>
              </fill>
              <border>
                <left/>
                <right/>
                <top/>
                <bottom/>
              </border>
            </x14:dxf>
          </x14:cfRule>
          <xm:sqref>R245</xm:sqref>
        </x14:conditionalFormatting>
        <x14:conditionalFormatting xmlns:xm="http://schemas.microsoft.com/office/excel/2006/main">
          <x14:cfRule type="expression" priority="1259" id="{5CF082C2-D824-4B83-8C82-2C98E8CC04FD}">
            <xm:f>ISBLANK('(3) Variantenbewertung'!$O$11)=TRUE</xm:f>
            <x14:dxf>
              <font>
                <color theme="0" tint="-0.14996795556505021"/>
              </font>
              <fill>
                <patternFill>
                  <bgColor theme="0" tint="-0.14996795556505021"/>
                </patternFill>
              </fill>
              <border>
                <left/>
                <right/>
                <top/>
                <bottom/>
                <vertical/>
                <horizontal/>
              </border>
            </x14:dxf>
          </x14:cfRule>
          <xm:sqref>R9:S16 R86:S89 R179:S182 R295:S296 R297 R298:S298 R341:S344</xm:sqref>
        </x14:conditionalFormatting>
        <x14:conditionalFormatting xmlns:xm="http://schemas.microsoft.com/office/excel/2006/main">
          <x14:cfRule type="expression" priority="746" id="{63BA8AE4-E3F9-4A44-A737-7749FB18686F}">
            <xm:f>'(3) Variantenbewertung'!$O$24="nein"</xm:f>
            <x14:dxf>
              <font>
                <color theme="0" tint="-4.9989318521683403E-2"/>
              </font>
              <fill>
                <patternFill>
                  <bgColor theme="0" tint="-4.9989318521683403E-2"/>
                </patternFill>
              </fill>
              <border>
                <left/>
                <right/>
                <top/>
                <bottom/>
              </border>
            </x14:dxf>
          </x14:cfRule>
          <xm:sqref>R283:S289</xm:sqref>
        </x14:conditionalFormatting>
        <x14:conditionalFormatting xmlns:xm="http://schemas.microsoft.com/office/excel/2006/main">
          <x14:cfRule type="expression" priority="171" id="{44A3AD9D-D316-4245-9F49-CEE76D8666E4}">
            <xm:f>ISBLANK('(3) Variantenbewertung'!$U$11)=TRUE</xm:f>
            <x14:dxf>
              <font>
                <color theme="0" tint="-0.14996795556505021"/>
              </font>
              <fill>
                <patternFill>
                  <bgColor theme="0" tint="-0.14996795556505021"/>
                </patternFill>
              </fill>
              <border>
                <left/>
                <right/>
                <top/>
                <bottom/>
                <vertical/>
                <horizontal/>
              </border>
            </x14:dxf>
          </x14:cfRule>
          <xm:sqref>S297</xm:sqref>
        </x14:conditionalFormatting>
        <x14:conditionalFormatting xmlns:xm="http://schemas.microsoft.com/office/excel/2006/main">
          <x14:cfRule type="expression" priority="385" id="{AC70E9CD-CF62-4C57-A307-8880CBDEAF29}">
            <xm:f>ISBLANK('(3) Variantenbewertung'!$R$11)=TRUE</xm:f>
            <x14:dxf>
              <font>
                <color theme="0" tint="-4.9989318521683403E-2"/>
              </font>
              <fill>
                <patternFill>
                  <bgColor theme="0" tint="-4.9989318521683403E-2"/>
                </patternFill>
              </fill>
              <border>
                <left/>
                <right/>
                <top/>
                <bottom/>
                <vertical/>
                <horizontal/>
              </border>
            </x14:dxf>
          </x14:cfRule>
          <xm:sqref>U211:W223 U29:W34 U39:W44 U49:W55 U60:W66 U71:W80 U98:W104 U109:W115 U120:W126 U131:W137 U142:W148 U153:W162 U167:W173 U191:W206 U228:W234 U239:W245 U250:W256 U261:W267 U272:W278 U283:W289 U307:W313 U318:W324 U329:W335</xm:sqref>
        </x14:conditionalFormatting>
        <x14:conditionalFormatting xmlns:xm="http://schemas.microsoft.com/office/excel/2006/main">
          <x14:cfRule type="expression" priority="356" id="{265915E6-054D-44B2-A8A3-60AFB2DB4742}">
            <xm:f>ISBLANK('(3) Variantenbewertung'!$R$11)=TRUE</xm:f>
            <x14:dxf>
              <font>
                <color theme="0" tint="-4.9989318521683403E-2"/>
              </font>
              <fill>
                <patternFill>
                  <bgColor theme="0" tint="-4.9989318521683403E-2"/>
                </patternFill>
              </fill>
              <border>
                <left/>
                <right/>
                <top/>
                <bottom/>
                <vertical/>
                <horizontal/>
              </border>
            </x14:dxf>
          </x14:cfRule>
          <xm:sqref>V223</xm:sqref>
        </x14:conditionalFormatting>
        <x14:conditionalFormatting xmlns:xm="http://schemas.microsoft.com/office/excel/2006/main">
          <x14:cfRule type="expression" priority="352" id="{615F1241-82DF-4B19-BB23-FA3D8B29BA61}">
            <xm:f>ISBLANK('(3) Variantenbewertung'!$I$11)=TRUE</xm:f>
            <x14:dxf>
              <font>
                <color theme="0" tint="-4.9989318521683403E-2"/>
              </font>
              <fill>
                <patternFill>
                  <bgColor theme="0" tint="-4.9989318521683403E-2"/>
                </patternFill>
              </fill>
              <border>
                <left/>
                <right/>
                <top/>
                <bottom/>
              </border>
            </x14:dxf>
          </x14:cfRule>
          <xm:sqref>V245</xm:sqref>
        </x14:conditionalFormatting>
        <x14:conditionalFormatting xmlns:xm="http://schemas.microsoft.com/office/excel/2006/main">
          <x14:cfRule type="expression" priority="1258" id="{2B492CF9-F262-4169-B34B-964EF36E7EF7}">
            <xm:f>ISBLANK('(3) Variantenbewertung'!$R$11)=TRUE</xm:f>
            <x14:dxf>
              <font>
                <color theme="0" tint="-0.14996795556505021"/>
              </font>
              <fill>
                <patternFill>
                  <bgColor theme="0" tint="-0.14996795556505021"/>
                </patternFill>
              </fill>
              <border>
                <left/>
                <right/>
                <top/>
                <bottom/>
                <vertical/>
                <horizontal/>
              </border>
            </x14:dxf>
          </x14:cfRule>
          <xm:sqref>V9:W16 V86:W89 V179:W182 V295:W296 V297 V298:W298 V341:W344</xm:sqref>
        </x14:conditionalFormatting>
        <x14:conditionalFormatting xmlns:xm="http://schemas.microsoft.com/office/excel/2006/main">
          <x14:cfRule type="expression" priority="1289" id="{18BC40BE-A4E2-4413-BC9C-65ADF7031531}">
            <xm:f>'(3) Variantenbewertung'!$R$24="nein"</xm:f>
            <x14:dxf>
              <font>
                <color theme="0" tint="-4.9989318521683403E-2"/>
              </font>
              <fill>
                <patternFill>
                  <bgColor theme="0" tint="-4.9989318521683403E-2"/>
                </patternFill>
              </fill>
              <border>
                <left/>
                <right/>
                <top/>
                <bottom/>
              </border>
            </x14:dxf>
          </x14:cfRule>
          <xm:sqref>V283:W289</xm:sqref>
        </x14:conditionalFormatting>
        <x14:conditionalFormatting xmlns:xm="http://schemas.microsoft.com/office/excel/2006/main">
          <x14:cfRule type="expression" priority="256" id="{51CA8194-835E-4D75-B355-8164D5403A65}">
            <xm:f>ISBLANK('(3) Variantenbewertung'!$U$11)=TRUE</xm:f>
            <x14:dxf>
              <font>
                <color theme="0" tint="-0.14996795556505021"/>
              </font>
              <fill>
                <patternFill>
                  <bgColor theme="0" tint="-0.14996795556505021"/>
                </patternFill>
              </fill>
              <border>
                <left/>
                <right/>
                <top/>
                <bottom/>
                <vertical/>
                <horizontal/>
              </border>
            </x14:dxf>
          </x14:cfRule>
          <xm:sqref>W297</xm:sqref>
        </x14:conditionalFormatting>
        <x14:conditionalFormatting xmlns:xm="http://schemas.microsoft.com/office/excel/2006/main">
          <x14:cfRule type="expression" priority="384" id="{BB571C79-E393-48A6-B86F-01E9DFF56F6D}">
            <xm:f>ISBLANK('(3) Variantenbewertung'!$U$11)=TRUE</xm:f>
            <x14:dxf>
              <font>
                <color theme="0" tint="-4.9989318521683403E-2"/>
              </font>
              <fill>
                <patternFill>
                  <bgColor theme="0" tint="-4.9989318521683403E-2"/>
                </patternFill>
              </fill>
              <border>
                <left/>
                <right/>
                <top/>
                <bottom/>
                <vertical/>
                <horizontal/>
              </border>
            </x14:dxf>
          </x14:cfRule>
          <xm:sqref>Y211:AA223 Y29:AA34 Y39:AA44 Y49:AA55 Y60:AA66 Y71:AA80 Y98:AA104 Y109:AA115 Y120:AA126 Y131:AA137 Y142:AA148 Y153:AA162 Y167:AA173 Y191:AA206 Y228:AA234 Y239:AA245 Y250:AA256 Y261:AA267 Y272:AA278 Y283:AA289 Y307:AA313 Z318:AA324 Z329:AA335</xm:sqref>
        </x14:conditionalFormatting>
        <x14:conditionalFormatting xmlns:xm="http://schemas.microsoft.com/office/excel/2006/main">
          <x14:cfRule type="expression" priority="355" id="{96C77F21-EC08-4E2E-9A2B-6C592342FFE3}">
            <xm:f>ISBLANK('(3) Variantenbewertung'!$U$11)=TRUE</xm:f>
            <x14:dxf>
              <font>
                <color theme="0" tint="-4.9989318521683403E-2"/>
              </font>
              <fill>
                <patternFill>
                  <bgColor theme="0" tint="-4.9989318521683403E-2"/>
                </patternFill>
              </fill>
              <border>
                <left/>
                <right/>
                <top/>
                <bottom/>
                <vertical/>
                <horizontal/>
              </border>
            </x14:dxf>
          </x14:cfRule>
          <xm:sqref>Z223</xm:sqref>
        </x14:conditionalFormatting>
        <x14:conditionalFormatting xmlns:xm="http://schemas.microsoft.com/office/excel/2006/main">
          <x14:cfRule type="expression" priority="351" id="{84941E09-87AB-4624-9D22-88F8CCAD2126}">
            <xm:f>ISBLANK('(3) Variantenbewertung'!$I$11)=TRUE</xm:f>
            <x14:dxf>
              <font>
                <color theme="0" tint="-4.9989318521683403E-2"/>
              </font>
              <fill>
                <patternFill>
                  <bgColor theme="0" tint="-4.9989318521683403E-2"/>
                </patternFill>
              </fill>
              <border>
                <left/>
                <right/>
                <top/>
                <bottom/>
              </border>
            </x14:dxf>
          </x14:cfRule>
          <xm:sqref>Z245</xm:sqref>
        </x14:conditionalFormatting>
        <x14:conditionalFormatting xmlns:xm="http://schemas.microsoft.com/office/excel/2006/main">
          <x14:cfRule type="expression" priority="1257" id="{26CD9CC2-2F39-4252-A6F4-9634DC4CD750}">
            <xm:f>ISBLANK('(3) Variantenbewertung'!$U$11)=TRUE</xm:f>
            <x14:dxf>
              <font>
                <color theme="0" tint="-0.14996795556505021"/>
              </font>
              <fill>
                <patternFill>
                  <bgColor theme="0" tint="-0.14996795556505021"/>
                </patternFill>
              </fill>
              <border>
                <left/>
                <right/>
                <top/>
                <bottom/>
                <vertical/>
                <horizontal/>
              </border>
            </x14:dxf>
          </x14:cfRule>
          <xm:sqref>Z9:AA16 Z86:AA89 Z179:AA182 Z295:AA298 Z341:AA344</xm:sqref>
        </x14:conditionalFormatting>
        <x14:conditionalFormatting xmlns:xm="http://schemas.microsoft.com/office/excel/2006/main">
          <x14:cfRule type="expression" priority="1288" id="{993AE123-8DBD-4693-8248-8006A3971A20}">
            <xm:f>'(3) Variantenbewertung'!$U$24="nein"</xm:f>
            <x14:dxf>
              <font>
                <color theme="0" tint="-4.9989318521683403E-2"/>
              </font>
              <fill>
                <patternFill>
                  <bgColor theme="0" tint="-4.9989318521683403E-2"/>
                </patternFill>
              </fill>
              <border>
                <left/>
                <right/>
                <top/>
                <bottom/>
              </border>
            </x14:dxf>
          </x14:cfRule>
          <xm:sqref>Z283:AA289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EFD5-D1D7-4DE2-B914-428499D96DF2}">
  <sheetPr codeName="Tabelle4">
    <tabColor rgb="FF6085BF"/>
  </sheetPr>
  <dimension ref="A1:AE269"/>
  <sheetViews>
    <sheetView defaultGridColor="0" colorId="9" zoomScaleNormal="100" zoomScaleSheetLayoutView="115" zoomScalePageLayoutView="85" workbookViewId="0">
      <pane xSplit="7" topLeftCell="H1" activePane="topRight" state="frozen"/>
      <selection pane="topRight"/>
    </sheetView>
  </sheetViews>
  <sheetFormatPr baseColWidth="10" defaultColWidth="11.44140625" defaultRowHeight="13.2" x14ac:dyDescent="0.25"/>
  <cols>
    <col min="1" max="2" width="3.6640625" style="8" customWidth="1"/>
    <col min="3" max="4" width="3.5546875" style="8" customWidth="1"/>
    <col min="5" max="5" width="18.44140625" style="8" customWidth="1"/>
    <col min="6" max="6" width="35" style="8" customWidth="1"/>
    <col min="7" max="8" width="12.21875" style="8" customWidth="1"/>
    <col min="9" max="9" width="5.109375" style="8" customWidth="1"/>
    <col min="10" max="10" width="11.6640625" style="16" customWidth="1"/>
    <col min="11" max="11" width="19.33203125" style="16" customWidth="1"/>
    <col min="12" max="12" width="1.6640625" style="16" customWidth="1"/>
    <col min="13" max="13" width="11.6640625" style="16" customWidth="1"/>
    <col min="14" max="14" width="19.33203125" style="16" customWidth="1"/>
    <col min="15" max="15" width="1.6640625" style="16" customWidth="1"/>
    <col min="16" max="16" width="11.6640625" style="16" customWidth="1"/>
    <col min="17" max="17" width="19.33203125" style="16" customWidth="1"/>
    <col min="18" max="18" width="1.6640625" style="16" customWidth="1"/>
    <col min="19" max="19" width="11.6640625" style="16" customWidth="1"/>
    <col min="20" max="20" width="19.33203125" style="16" customWidth="1"/>
    <col min="21" max="21" width="1.6640625" style="16" customWidth="1"/>
    <col min="22" max="22" width="11.6640625" style="16" customWidth="1"/>
    <col min="23" max="23" width="19.33203125" style="16" customWidth="1"/>
    <col min="24" max="24" width="8.5546875" style="16" customWidth="1"/>
    <col min="25" max="25" width="8.5546875" style="8" customWidth="1"/>
    <col min="26" max="26" width="38.5546875" style="5" customWidth="1"/>
    <col min="27" max="27" width="27.44140625" style="7" customWidth="1"/>
    <col min="28" max="28" width="27.44140625" style="8" customWidth="1"/>
    <col min="29" max="29" width="2.88671875" style="8" customWidth="1"/>
    <col min="30" max="30" width="27.44140625" style="8" customWidth="1"/>
    <col min="31" max="31" width="2.88671875" style="8" customWidth="1"/>
    <col min="32" max="32" width="27.44140625" style="8" customWidth="1"/>
    <col min="33" max="33" width="2.88671875" style="8" customWidth="1"/>
    <col min="34" max="34" width="22.88671875" style="8" customWidth="1"/>
    <col min="35" max="35" width="3.6640625" style="8" customWidth="1"/>
    <col min="36" max="36" width="13.33203125" style="8" customWidth="1"/>
    <col min="37" max="16384" width="11.44140625" style="8"/>
  </cols>
  <sheetData>
    <row r="1" spans="1:31" ht="25.5" customHeight="1" x14ac:dyDescent="0.25">
      <c r="A1" s="44" t="s">
        <v>372</v>
      </c>
      <c r="B1" s="44"/>
    </row>
    <row r="2" spans="1:31" ht="15" customHeight="1" x14ac:dyDescent="0.25"/>
    <row r="3" spans="1:31" ht="15" customHeight="1" x14ac:dyDescent="0.25">
      <c r="A3" s="238" t="s">
        <v>240</v>
      </c>
      <c r="B3" s="238"/>
      <c r="C3" s="238"/>
      <c r="D3" s="238"/>
    </row>
    <row r="4" spans="1:31" ht="15" customHeight="1" x14ac:dyDescent="0.25"/>
    <row r="5" spans="1:31" s="5" customFormat="1" ht="15" customHeight="1" x14ac:dyDescent="0.25">
      <c r="A5" s="342" t="s">
        <v>373</v>
      </c>
      <c r="B5" s="342"/>
      <c r="C5" s="342"/>
      <c r="D5" s="342"/>
      <c r="E5" s="342"/>
      <c r="F5" s="342"/>
      <c r="G5" s="342"/>
      <c r="H5" s="342"/>
      <c r="I5" s="342"/>
      <c r="J5" s="342"/>
      <c r="K5" s="342"/>
      <c r="L5" s="342"/>
      <c r="M5" s="342"/>
      <c r="N5" s="342"/>
      <c r="O5" s="342"/>
      <c r="P5" s="342"/>
      <c r="Q5" s="342"/>
      <c r="R5" s="342"/>
      <c r="S5" s="342"/>
      <c r="T5" s="342"/>
      <c r="U5" s="342"/>
      <c r="V5" s="342"/>
      <c r="W5" s="342"/>
      <c r="X5" s="342"/>
      <c r="AA5" s="4"/>
      <c r="AB5" s="4"/>
      <c r="AC5" s="4"/>
      <c r="AD5" s="4"/>
      <c r="AE5" s="4"/>
    </row>
    <row r="6" spans="1:31" s="5" customFormat="1" ht="15" customHeight="1" x14ac:dyDescent="0.25">
      <c r="C6" s="10"/>
      <c r="D6" s="10"/>
      <c r="E6" s="10"/>
      <c r="F6" s="10"/>
      <c r="J6" s="1"/>
      <c r="K6" s="1"/>
      <c r="L6" s="1"/>
      <c r="M6" s="1"/>
      <c r="N6" s="1"/>
      <c r="O6" s="1"/>
      <c r="P6" s="1"/>
      <c r="Q6" s="1"/>
      <c r="R6" s="1"/>
      <c r="S6" s="1"/>
      <c r="T6" s="1"/>
      <c r="U6" s="1"/>
      <c r="V6" s="1"/>
      <c r="W6" s="1"/>
      <c r="X6" s="1"/>
      <c r="AA6" s="4"/>
      <c r="AB6" s="4"/>
      <c r="AC6" s="4"/>
      <c r="AD6" s="4"/>
      <c r="AE6" s="4"/>
    </row>
    <row r="7" spans="1:31" s="5" customFormat="1" ht="15" customHeight="1" x14ac:dyDescent="0.25">
      <c r="C7" s="10"/>
      <c r="D7" s="10"/>
      <c r="E7" s="10"/>
      <c r="F7" s="10"/>
      <c r="J7" s="1"/>
      <c r="K7" s="1"/>
      <c r="L7" s="1"/>
      <c r="M7" s="1"/>
      <c r="N7" s="1"/>
      <c r="O7" s="1"/>
      <c r="P7" s="1"/>
      <c r="Q7" s="1"/>
      <c r="R7" s="1"/>
      <c r="S7" s="1"/>
      <c r="T7" s="1"/>
      <c r="U7" s="1"/>
      <c r="V7" s="1"/>
      <c r="W7" s="1"/>
      <c r="X7" s="1"/>
      <c r="AA7" s="4"/>
      <c r="AB7" s="4"/>
      <c r="AC7" s="4"/>
      <c r="AD7" s="4"/>
      <c r="AE7" s="4"/>
    </row>
    <row r="8" spans="1:31" s="5" customFormat="1" ht="15" customHeight="1" x14ac:dyDescent="0.25">
      <c r="C8" s="21"/>
      <c r="D8" s="21"/>
      <c r="E8" s="21"/>
      <c r="F8" s="21"/>
      <c r="G8" s="29"/>
      <c r="H8" s="29"/>
      <c r="I8" s="29"/>
      <c r="J8" s="34"/>
      <c r="K8" s="34"/>
      <c r="L8" s="34"/>
      <c r="M8" s="34"/>
      <c r="N8" s="34"/>
      <c r="O8" s="34"/>
      <c r="P8" s="34"/>
      <c r="Q8" s="34"/>
      <c r="R8" s="34"/>
      <c r="S8" s="34"/>
      <c r="T8" s="34"/>
      <c r="U8" s="34"/>
      <c r="V8" s="34"/>
      <c r="W8" s="34"/>
      <c r="X8" s="34"/>
      <c r="AA8" s="4"/>
      <c r="AB8" s="4"/>
      <c r="AC8" s="4"/>
      <c r="AD8" s="4"/>
      <c r="AE8" s="4"/>
    </row>
    <row r="9" spans="1:31" s="5" customFormat="1" ht="15" customHeight="1" x14ac:dyDescent="0.25">
      <c r="C9" s="29"/>
      <c r="D9" s="29"/>
      <c r="E9" s="29"/>
      <c r="F9" s="29"/>
      <c r="G9" s="34"/>
      <c r="H9" s="34"/>
      <c r="I9" s="34"/>
      <c r="J9" s="316" t="str">
        <f>IF(ISBLANK('(3) Variantenbewertung'!$I$11),"",'(3) Variantenbewertung'!$I$11)</f>
        <v>V1</v>
      </c>
      <c r="K9" s="316"/>
      <c r="L9" s="34"/>
      <c r="M9" s="316" t="str">
        <f>IF(ISBLANK('(3) Variantenbewertung'!$L$11),"",'(3) Variantenbewertung'!$L$11)</f>
        <v>V2</v>
      </c>
      <c r="N9" s="316"/>
      <c r="O9" s="34"/>
      <c r="P9" s="316" t="str">
        <f>IF(ISBLANK('(3) Variantenbewertung'!$O$11),"",'(3) Variantenbewertung'!$O$11)</f>
        <v>V3</v>
      </c>
      <c r="Q9" s="316"/>
      <c r="R9" s="34"/>
      <c r="S9" s="316" t="str">
        <f>IF(ISBLANK('(3) Variantenbewertung'!$R$11),"",'(3) Variantenbewertung'!$R$11)</f>
        <v/>
      </c>
      <c r="T9" s="316"/>
      <c r="U9" s="34"/>
      <c r="V9" s="316" t="str">
        <f>IF(ISBLANK('(3) Variantenbewertung'!$U$11),"",'(3) Variantenbewertung'!$U$11)</f>
        <v/>
      </c>
      <c r="W9" s="316"/>
      <c r="X9" s="34"/>
      <c r="AA9" s="4"/>
      <c r="AB9" s="4"/>
      <c r="AC9" s="4"/>
      <c r="AD9" s="4"/>
      <c r="AE9" s="4"/>
    </row>
    <row r="10" spans="1:31" s="5" customFormat="1" ht="15" customHeight="1" x14ac:dyDescent="0.25">
      <c r="C10" s="29"/>
      <c r="D10" s="29"/>
      <c r="E10" s="29"/>
      <c r="F10" s="29"/>
      <c r="G10" s="15" t="s">
        <v>33</v>
      </c>
      <c r="H10" s="15" t="s">
        <v>499</v>
      </c>
      <c r="I10" s="34"/>
      <c r="J10" s="132" t="s">
        <v>221</v>
      </c>
      <c r="K10" s="133" t="s">
        <v>222</v>
      </c>
      <c r="L10" s="24"/>
      <c r="M10" s="132" t="s">
        <v>221</v>
      </c>
      <c r="N10" s="133" t="s">
        <v>222</v>
      </c>
      <c r="O10" s="24"/>
      <c r="P10" s="132" t="s">
        <v>221</v>
      </c>
      <c r="Q10" s="133" t="s">
        <v>222</v>
      </c>
      <c r="R10" s="24"/>
      <c r="S10" s="132" t="s">
        <v>221</v>
      </c>
      <c r="T10" s="133" t="s">
        <v>222</v>
      </c>
      <c r="U10" s="24"/>
      <c r="V10" s="132" t="s">
        <v>221</v>
      </c>
      <c r="W10" s="133" t="s">
        <v>222</v>
      </c>
      <c r="X10" s="24"/>
      <c r="AA10" s="4"/>
      <c r="AB10" s="4"/>
      <c r="AC10" s="4"/>
      <c r="AD10" s="4"/>
      <c r="AE10" s="4"/>
    </row>
    <row r="11" spans="1:31" s="5" customFormat="1" ht="15" customHeight="1" x14ac:dyDescent="0.25">
      <c r="C11" s="29"/>
      <c r="D11" s="29"/>
      <c r="E11" s="343" t="str">
        <f>B25</f>
        <v>U1 Natur-, Heimat- und Landschaftsschutz</v>
      </c>
      <c r="F11" s="343"/>
      <c r="G11" s="99">
        <v>0.3</v>
      </c>
      <c r="H11" s="15">
        <v>0.3</v>
      </c>
      <c r="I11" s="34"/>
      <c r="J11" s="41">
        <f>IF(J97="Nicht vorhanden",0,J98)</f>
        <v>3</v>
      </c>
      <c r="K11" s="41"/>
      <c r="L11" s="34"/>
      <c r="M11" s="41">
        <f>IF(M97="Nicht vorhanden",0,M98)</f>
        <v>2</v>
      </c>
      <c r="N11" s="41"/>
      <c r="O11" s="34"/>
      <c r="P11" s="41">
        <f>IF(P97="Nicht vorhanden",0,P98)</f>
        <v>2</v>
      </c>
      <c r="Q11" s="41"/>
      <c r="R11" s="34"/>
      <c r="S11" s="41" t="str">
        <f>IF(S97="Nicht vorhanden",0,S98)</f>
        <v>-</v>
      </c>
      <c r="T11" s="41"/>
      <c r="U11" s="34"/>
      <c r="V11" s="41" t="str">
        <f>IF(V97="Nicht vorhanden",0,V98)</f>
        <v>-</v>
      </c>
      <c r="W11" s="41"/>
      <c r="X11" s="34"/>
      <c r="AA11" s="4"/>
      <c r="AB11" s="4"/>
      <c r="AC11" s="4"/>
      <c r="AD11" s="4"/>
      <c r="AE11" s="4"/>
    </row>
    <row r="12" spans="1:31" s="5" customFormat="1" ht="15" customHeight="1" x14ac:dyDescent="0.25">
      <c r="C12" s="29"/>
      <c r="D12" s="29"/>
      <c r="E12" s="343" t="str">
        <f>B103</f>
        <v>U2 Raumplanung / Umweltschutz / Nutzung</v>
      </c>
      <c r="F12" s="343"/>
      <c r="G12" s="99">
        <v>0.2</v>
      </c>
      <c r="H12" s="15">
        <v>0.2</v>
      </c>
      <c r="I12" s="34"/>
      <c r="J12" s="41">
        <f>J155</f>
        <v>2</v>
      </c>
      <c r="K12" s="41">
        <f>K155</f>
        <v>2</v>
      </c>
      <c r="L12" s="34"/>
      <c r="M12" s="41">
        <f>M155</f>
        <v>3</v>
      </c>
      <c r="N12" s="41">
        <f>N155</f>
        <v>3</v>
      </c>
      <c r="O12" s="34"/>
      <c r="P12" s="41">
        <f>P155</f>
        <v>2</v>
      </c>
      <c r="Q12" s="41">
        <f>Q155</f>
        <v>2</v>
      </c>
      <c r="R12" s="34"/>
      <c r="S12" s="41" t="str">
        <f>S155</f>
        <v>-</v>
      </c>
      <c r="T12" s="41" t="str">
        <f>T155</f>
        <v>-</v>
      </c>
      <c r="U12" s="34"/>
      <c r="V12" s="41" t="str">
        <f>V155</f>
        <v>-</v>
      </c>
      <c r="W12" s="41" t="str">
        <f>W155</f>
        <v>-</v>
      </c>
      <c r="X12" s="34"/>
      <c r="AA12" s="4"/>
      <c r="AB12" s="4"/>
      <c r="AC12" s="4"/>
      <c r="AD12" s="4"/>
      <c r="AE12" s="4"/>
    </row>
    <row r="13" spans="1:31" s="5" customFormat="1" ht="15" customHeight="1" x14ac:dyDescent="0.25">
      <c r="C13" s="29"/>
      <c r="D13" s="29"/>
      <c r="E13" s="343" t="str">
        <f>B160</f>
        <v>U3 Koordinationsbedarf</v>
      </c>
      <c r="F13" s="343"/>
      <c r="G13" s="99">
        <v>0.1</v>
      </c>
      <c r="H13" s="15">
        <v>0.1</v>
      </c>
      <c r="I13" s="34"/>
      <c r="J13" s="41">
        <f>J189</f>
        <v>3</v>
      </c>
      <c r="K13" s="41"/>
      <c r="L13" s="34"/>
      <c r="M13" s="41">
        <f>M189</f>
        <v>3</v>
      </c>
      <c r="N13" s="41"/>
      <c r="O13" s="34"/>
      <c r="P13" s="41">
        <f>P189</f>
        <v>3</v>
      </c>
      <c r="Q13" s="41"/>
      <c r="R13" s="34"/>
      <c r="S13" s="41" t="str">
        <f>S189</f>
        <v>-</v>
      </c>
      <c r="T13" s="41"/>
      <c r="U13" s="34"/>
      <c r="V13" s="41" t="str">
        <f>V189</f>
        <v>-</v>
      </c>
      <c r="W13" s="41"/>
      <c r="X13" s="34"/>
      <c r="AA13" s="4"/>
      <c r="AB13" s="4"/>
      <c r="AC13" s="4"/>
      <c r="AD13" s="4"/>
      <c r="AE13" s="4"/>
    </row>
    <row r="14" spans="1:31" s="5" customFormat="1" ht="15" customHeight="1" x14ac:dyDescent="0.25">
      <c r="C14" s="29"/>
      <c r="D14" s="29"/>
      <c r="E14" s="343" t="str">
        <f>B194</f>
        <v>U4 Ökologie und Nachhaltigkeit</v>
      </c>
      <c r="F14" s="343"/>
      <c r="G14" s="99">
        <v>0.4</v>
      </c>
      <c r="H14" s="15">
        <v>0.4</v>
      </c>
      <c r="I14" s="34"/>
      <c r="J14" s="41">
        <f>J268</f>
        <v>2</v>
      </c>
      <c r="K14" s="41">
        <f>K268</f>
        <v>2</v>
      </c>
      <c r="L14" s="34"/>
      <c r="M14" s="41">
        <f>M268</f>
        <v>2</v>
      </c>
      <c r="N14" s="41">
        <f>N268</f>
        <v>2</v>
      </c>
      <c r="O14" s="34"/>
      <c r="P14" s="41">
        <f>P268</f>
        <v>1</v>
      </c>
      <c r="Q14" s="41">
        <f>Q268</f>
        <v>3</v>
      </c>
      <c r="R14" s="34"/>
      <c r="S14" s="41" t="str">
        <f>S268</f>
        <v>-</v>
      </c>
      <c r="T14" s="41" t="str">
        <f>T268</f>
        <v>-</v>
      </c>
      <c r="U14" s="34"/>
      <c r="V14" s="41" t="str">
        <f>V268</f>
        <v>-</v>
      </c>
      <c r="W14" s="41" t="str">
        <f>W268</f>
        <v>-</v>
      </c>
      <c r="X14" s="34"/>
      <c r="AA14" s="4"/>
      <c r="AB14" s="4"/>
      <c r="AC14" s="4"/>
      <c r="AD14" s="4"/>
      <c r="AE14" s="4"/>
    </row>
    <row r="15" spans="1:31" s="5" customFormat="1" ht="15" customHeight="1" x14ac:dyDescent="0.25">
      <c r="C15" s="29"/>
      <c r="D15" s="29"/>
      <c r="E15" s="29"/>
      <c r="F15" s="29"/>
      <c r="G15" s="34"/>
      <c r="H15" s="34"/>
      <c r="I15" s="34"/>
      <c r="J15" s="34"/>
      <c r="K15" s="34"/>
      <c r="L15" s="34"/>
      <c r="M15" s="34"/>
      <c r="N15" s="34"/>
      <c r="O15" s="34"/>
      <c r="P15" s="34"/>
      <c r="Q15" s="34"/>
      <c r="R15" s="34"/>
      <c r="S15" s="34"/>
      <c r="T15" s="34"/>
      <c r="U15" s="34"/>
      <c r="V15" s="34"/>
      <c r="W15" s="34"/>
      <c r="X15" s="34"/>
      <c r="AA15" s="4"/>
      <c r="AB15" s="4"/>
      <c r="AC15" s="4"/>
      <c r="AD15" s="4"/>
      <c r="AE15" s="4"/>
    </row>
    <row r="16" spans="1:31" s="5" customFormat="1" ht="15" customHeight="1" x14ac:dyDescent="0.25">
      <c r="C16" s="29"/>
      <c r="D16" s="29"/>
      <c r="E16" s="29"/>
      <c r="F16" s="42" t="s">
        <v>35</v>
      </c>
      <c r="G16" s="33">
        <f>IF(SUM(G11:G14)=1,SUM(G11:G14),"Gewichtung = 1!")</f>
        <v>1</v>
      </c>
      <c r="H16" s="29"/>
      <c r="I16" s="42" t="s">
        <v>35</v>
      </c>
      <c r="J16" s="173">
        <f>IF(AND(J97="FEHLER",COUNT(J12:J14)=3,ISNUMBER($G$16)),($G$12*J12+$G$13*J13+$G$14*J14)/SUM($G$12:$G$14),IF(AND(COUNT(J11:J14)=4,ISNUMBER($G$16)),SUMPRODUCT($G$11:$G$14,J11:J14),"FEHLER"))</f>
        <v>2.4</v>
      </c>
      <c r="K16" s="173">
        <f>IF(AND(J97="FEHLER",COUNT(K12:K14)=2,COUNT(J11:J14)=3,ISNUMBER($G$16)),(K12*$G$12+J13*$G$13+K14*$G$14)/SUM($G$12:$G$14),IF(AND(AND(COUNT(K11:K14)=2,COUNT(J11:J14)=4),ISNUMBER($G$16)),J11*$G$11+K12*$G$12+J13*$G$13+K14*$G$14,"FEHLER"))</f>
        <v>2.4</v>
      </c>
      <c r="L16" s="174"/>
      <c r="M16" s="173">
        <f>IF(AND(M97="FEHLER",COUNT(M12:M14)=3,ISNUMBER($G$16)),($G$12*M12+$G$13*M13+$G$14*M14)/SUM($G$12:$G$14),IF(AND(COUNT(M11:M14)=4,ISNUMBER($G$16)),SUMPRODUCT($G$11:$G$14,M11:M14),"FEHLER"))</f>
        <v>2.3000000000000003</v>
      </c>
      <c r="N16" s="173">
        <f>IF(AND(M97="FEHLER",COUNT(N12:N14)=2,COUNT(M11:M14)=3,ISNUMBER($G$16)),(N12*$G$12+M13*$G$13+N14*$G$14)/SUM($G$12:$G$14),IF(AND(AND(COUNT(N11:N14)=2,COUNT(M11:M14)=4),ISNUMBER($G$16)),M11*$G$11+N12*$G$12+M13*$G$13+N14*$G$14,"FEHLER"))</f>
        <v>2.3000000000000003</v>
      </c>
      <c r="O16" s="174"/>
      <c r="P16" s="173">
        <f>IF(AND(P97="FEHLER",COUNT(P12:P14)=3,ISNUMBER($G$16)),($G$12*P12+$G$13*P13+$G$14*P14)/SUM($G$12:$G$14),IF(AND(COUNT(P11:P14)=4,ISNUMBER($G$16)),SUMPRODUCT($G$11:$G$14,P11:P14),"FEHLER"))</f>
        <v>1.7000000000000002</v>
      </c>
      <c r="Q16" s="173">
        <f>IF(AND(P97="FEHLER",COUNT(Q12:Q14)=2,COUNT(P11:P14)=3,ISNUMBER($G$16)),(Q12*$G$12+P13*$G$13+Q14*$G$14)/SUM($G$12:$G$14),IF(AND(AND(COUNT(Q11:Q14)=2,COUNT(P11:P14)=4),ISNUMBER($G$16)),P11*$G$11+Q12*$G$12+P13*$G$13+Q14*$G$14,"FEHLER"))</f>
        <v>2.5</v>
      </c>
      <c r="R16" s="174"/>
      <c r="S16" s="173" t="str">
        <f>IF(AND(S97="FEHLER",COUNT(S12:S14)=3,ISNUMBER($G$16)),($G$12*S12+$G$13*S13+$G$14*S14)/SUM($G$12:$G$14),IF(AND(COUNT(S11:S14)=4,ISNUMBER($G$16)),SUMPRODUCT($G$11:$G$14,S11:S14),"FEHLER"))</f>
        <v>FEHLER</v>
      </c>
      <c r="T16" s="173" t="str">
        <f>IF(AND(S97="FEHLER",COUNT(T12:T14)=2,COUNT(S11:S14)=3,ISNUMBER($G$16)),(T12*$G$12+S13*$G$13+T14*$G$14)/SUM($G$12:$G$14),IF(AND(AND(COUNT(T11:T14)=2,COUNT(S11:S14)=4),ISNUMBER($G$16)),S11*$G$11+T12*$G$12+S13*$G$13+T14*$G$14,"FEHLER"))</f>
        <v>FEHLER</v>
      </c>
      <c r="U16" s="174"/>
      <c r="V16" s="173" t="str">
        <f>IF(AND(V97="FEHLER",COUNT(V12:V14)=3,ISNUMBER($G$16)),($G$12*V12+$G$13*V13+$G$14*V14)/SUM($G$12:$G$14),IF(AND(COUNT(V11:V14)=4,ISNUMBER($G$16)),SUMPRODUCT($G$11:$G$14,V11:V14),"FEHLER"))</f>
        <v>FEHLER</v>
      </c>
      <c r="W16" s="173" t="str">
        <f>IF(AND(V97="FEHLER",COUNT(W12:W14)=2,COUNT(V11:V14)=3,ISNUMBER($G$16)),(W12*$G$12+V13*$G$13+W14*$G$14)/SUM($G$12:$G$14),IF(AND(AND(COUNT(W11:W14)=2,COUNT(V11:V14)=4),ISNUMBER($G$16)),V11*$G$11+W12*$G$12+V13*$G$13+W14*$G$14,"FEHLER"))</f>
        <v>FEHLER</v>
      </c>
      <c r="X16" s="42"/>
      <c r="AA16" s="4"/>
      <c r="AB16" s="4"/>
      <c r="AC16" s="4"/>
      <c r="AD16" s="4"/>
      <c r="AE16" s="4"/>
    </row>
    <row r="17" spans="1:31" s="5" customFormat="1" ht="15" customHeight="1" x14ac:dyDescent="0.25">
      <c r="C17" s="29"/>
      <c r="D17" s="29"/>
      <c r="E17" s="29"/>
      <c r="F17" s="29"/>
      <c r="G17" s="29"/>
      <c r="H17" s="29"/>
      <c r="I17" s="29"/>
      <c r="J17" s="34"/>
      <c r="K17" s="34"/>
      <c r="L17" s="34"/>
      <c r="M17" s="34"/>
      <c r="N17" s="34"/>
      <c r="O17" s="34"/>
      <c r="P17" s="34"/>
      <c r="Q17" s="34"/>
      <c r="R17" s="34"/>
      <c r="S17" s="34"/>
      <c r="T17" s="34"/>
      <c r="U17" s="34"/>
      <c r="V17" s="34"/>
      <c r="W17" s="34"/>
      <c r="X17" s="34"/>
      <c r="AA17" s="4"/>
      <c r="AB17" s="4"/>
      <c r="AC17" s="4"/>
      <c r="AD17" s="4"/>
      <c r="AE17" s="4"/>
    </row>
    <row r="18" spans="1:31" s="5" customFormat="1" ht="15" customHeight="1" x14ac:dyDescent="0.25">
      <c r="J18" s="1"/>
      <c r="K18" s="1"/>
      <c r="L18" s="1"/>
      <c r="M18" s="1"/>
      <c r="N18" s="1"/>
      <c r="O18" s="1"/>
      <c r="P18" s="1"/>
      <c r="Q18" s="1"/>
      <c r="R18" s="1"/>
      <c r="S18" s="1"/>
      <c r="T18" s="1"/>
      <c r="U18" s="1"/>
      <c r="V18" s="1"/>
      <c r="W18" s="1"/>
      <c r="X18" s="1"/>
      <c r="AA18" s="4"/>
      <c r="AB18" s="4"/>
      <c r="AC18" s="4"/>
      <c r="AD18" s="4"/>
      <c r="AE18" s="4"/>
    </row>
    <row r="19" spans="1:31" s="5" customFormat="1" ht="15" customHeight="1" x14ac:dyDescent="0.25">
      <c r="J19" s="1"/>
      <c r="K19" s="1"/>
      <c r="L19" s="1"/>
      <c r="M19" s="1"/>
      <c r="N19" s="1"/>
      <c r="O19" s="1"/>
      <c r="P19" s="1"/>
      <c r="Q19" s="1"/>
      <c r="R19" s="1"/>
      <c r="S19" s="1"/>
      <c r="T19" s="1"/>
      <c r="U19" s="1"/>
      <c r="V19" s="1"/>
      <c r="W19" s="1"/>
      <c r="X19" s="1"/>
      <c r="AA19" s="4"/>
      <c r="AB19" s="4"/>
      <c r="AC19" s="4"/>
      <c r="AD19" s="4"/>
      <c r="AE19" s="4"/>
    </row>
    <row r="20" spans="1:31" s="5" customFormat="1" ht="15" customHeight="1" x14ac:dyDescent="0.25">
      <c r="J20" s="1"/>
      <c r="K20" s="1"/>
      <c r="L20" s="1"/>
      <c r="M20" s="1"/>
      <c r="N20" s="1"/>
      <c r="O20" s="1"/>
      <c r="P20" s="1"/>
      <c r="Q20" s="1"/>
      <c r="R20" s="1"/>
      <c r="S20" s="1"/>
      <c r="T20" s="1"/>
      <c r="U20" s="1"/>
      <c r="V20" s="1"/>
      <c r="W20" s="1"/>
      <c r="X20" s="1"/>
      <c r="AA20" s="4"/>
      <c r="AB20" s="4"/>
      <c r="AC20" s="4"/>
      <c r="AD20" s="4"/>
      <c r="AE20" s="4"/>
    </row>
    <row r="21" spans="1:31" s="5" customFormat="1" ht="15" customHeight="1" x14ac:dyDescent="0.25">
      <c r="A21" s="342" t="s">
        <v>374</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AA21" s="4"/>
      <c r="AB21" s="4"/>
      <c r="AC21" s="4"/>
      <c r="AD21" s="4"/>
      <c r="AE21" s="4"/>
    </row>
    <row r="22" spans="1:31" s="5" customFormat="1" ht="15" customHeight="1" x14ac:dyDescent="0.25">
      <c r="J22" s="1"/>
      <c r="K22" s="1"/>
      <c r="L22" s="1"/>
      <c r="M22" s="1"/>
      <c r="N22" s="1"/>
      <c r="O22" s="1"/>
      <c r="P22" s="1"/>
      <c r="Q22" s="1"/>
      <c r="R22" s="1"/>
      <c r="S22" s="1"/>
      <c r="T22" s="1"/>
      <c r="U22" s="1"/>
      <c r="V22" s="1"/>
      <c r="W22" s="1"/>
      <c r="X22" s="1"/>
      <c r="AA22" s="4"/>
      <c r="AB22" s="4"/>
      <c r="AC22" s="4"/>
      <c r="AD22" s="4"/>
      <c r="AE22" s="4"/>
    </row>
    <row r="23" spans="1:31" s="5" customFormat="1" ht="15" customHeight="1" x14ac:dyDescent="0.25">
      <c r="B23" s="150" t="s">
        <v>375</v>
      </c>
      <c r="J23" s="1"/>
      <c r="K23" s="1"/>
      <c r="L23" s="1"/>
      <c r="M23" s="1"/>
      <c r="N23" s="1"/>
      <c r="O23" s="1"/>
      <c r="P23" s="1"/>
      <c r="Q23" s="1"/>
      <c r="R23" s="1"/>
      <c r="S23" s="1"/>
      <c r="T23" s="1"/>
      <c r="U23" s="1"/>
      <c r="V23" s="1"/>
      <c r="W23" s="1"/>
      <c r="X23" s="1"/>
      <c r="AA23" s="4"/>
      <c r="AB23" s="4"/>
      <c r="AC23" s="4"/>
      <c r="AD23" s="4"/>
      <c r="AE23" s="4"/>
    </row>
    <row r="24" spans="1:31" s="5" customFormat="1" ht="15" customHeight="1" x14ac:dyDescent="0.25">
      <c r="J24" s="1"/>
      <c r="K24" s="1"/>
      <c r="L24" s="1"/>
      <c r="M24" s="1"/>
      <c r="N24" s="1"/>
      <c r="O24" s="1"/>
      <c r="P24" s="1"/>
      <c r="Q24" s="1"/>
      <c r="R24" s="1"/>
      <c r="S24" s="1"/>
      <c r="T24" s="1"/>
      <c r="U24" s="1"/>
      <c r="V24" s="1"/>
      <c r="W24" s="1"/>
      <c r="X24" s="1"/>
      <c r="AA24" s="4"/>
      <c r="AB24" s="4"/>
      <c r="AC24" s="4"/>
      <c r="AD24" s="4"/>
      <c r="AE24" s="4"/>
    </row>
    <row r="25" spans="1:31" s="5" customFormat="1" ht="15" customHeight="1" x14ac:dyDescent="0.25">
      <c r="B25" s="323" t="s">
        <v>398</v>
      </c>
      <c r="C25" s="323"/>
      <c r="D25" s="323"/>
      <c r="E25" s="323"/>
      <c r="F25" s="323"/>
      <c r="G25" s="323"/>
      <c r="H25" s="323"/>
      <c r="I25" s="323"/>
      <c r="J25" s="323"/>
      <c r="K25" s="323"/>
      <c r="L25" s="323"/>
      <c r="M25" s="323"/>
      <c r="N25" s="323"/>
      <c r="O25" s="323"/>
      <c r="P25" s="323"/>
      <c r="Q25" s="323"/>
      <c r="R25" s="323"/>
      <c r="S25" s="323"/>
      <c r="T25" s="323"/>
      <c r="U25" s="323"/>
      <c r="V25" s="323"/>
      <c r="W25" s="323"/>
      <c r="X25" s="323"/>
      <c r="AA25" s="7"/>
    </row>
    <row r="26" spans="1:31" s="5" customFormat="1" ht="15" customHeight="1" x14ac:dyDescent="0.25">
      <c r="J26" s="1"/>
      <c r="K26" s="1"/>
      <c r="L26" s="1"/>
      <c r="M26" s="1"/>
      <c r="N26" s="1"/>
      <c r="O26" s="1"/>
      <c r="P26" s="1"/>
      <c r="Q26" s="1"/>
      <c r="R26" s="1"/>
      <c r="S26" s="1"/>
      <c r="T26" s="1"/>
      <c r="U26" s="1"/>
      <c r="V26" s="1"/>
      <c r="W26" s="1"/>
      <c r="X26" s="1"/>
      <c r="AA26" s="7"/>
    </row>
    <row r="27" spans="1:31" s="5" customFormat="1" ht="15" customHeight="1" x14ac:dyDescent="0.25">
      <c r="C27" s="310"/>
      <c r="D27" s="310"/>
      <c r="E27" s="310"/>
      <c r="F27" s="310"/>
      <c r="G27" s="310"/>
      <c r="H27" s="10"/>
      <c r="J27" s="1"/>
      <c r="K27" s="1"/>
      <c r="L27" s="1"/>
      <c r="M27" s="1"/>
      <c r="N27" s="1"/>
      <c r="O27" s="1"/>
      <c r="P27" s="1"/>
      <c r="Q27" s="1"/>
      <c r="R27" s="1"/>
      <c r="S27" s="1"/>
      <c r="T27" s="1"/>
      <c r="U27" s="1"/>
      <c r="V27" s="1"/>
      <c r="W27" s="1"/>
      <c r="X27" s="1"/>
      <c r="AA27" s="7"/>
    </row>
    <row r="28" spans="1:31" s="5" customFormat="1" ht="15" customHeight="1" x14ac:dyDescent="0.25">
      <c r="C28" s="266" t="s">
        <v>376</v>
      </c>
      <c r="D28" s="266"/>
      <c r="E28" s="266"/>
      <c r="F28" s="266"/>
      <c r="G28" s="26"/>
      <c r="H28" s="26"/>
      <c r="I28" s="28"/>
      <c r="J28" s="18"/>
      <c r="K28" s="18"/>
      <c r="L28" s="18"/>
      <c r="M28" s="18"/>
      <c r="N28" s="18"/>
      <c r="O28" s="18"/>
      <c r="P28" s="18"/>
      <c r="Q28" s="18"/>
      <c r="R28" s="18"/>
      <c r="S28" s="18"/>
      <c r="T28" s="18"/>
      <c r="U28" s="18"/>
      <c r="V28" s="18"/>
      <c r="W28" s="18"/>
      <c r="X28" s="18"/>
      <c r="AA28" s="7"/>
    </row>
    <row r="29" spans="1:31" s="5" customFormat="1" ht="15" customHeight="1" x14ac:dyDescent="0.25">
      <c r="C29" s="28"/>
      <c r="D29" s="321" t="s">
        <v>181</v>
      </c>
      <c r="E29" s="329"/>
      <c r="F29" s="329"/>
      <c r="G29" s="329"/>
      <c r="H29" s="182"/>
      <c r="I29" s="28"/>
      <c r="J29" s="28"/>
      <c r="K29" s="28"/>
      <c r="L29" s="28"/>
      <c r="M29" s="28"/>
      <c r="N29" s="28"/>
      <c r="O29" s="28"/>
      <c r="P29" s="28"/>
      <c r="Q29" s="28"/>
      <c r="R29" s="28"/>
      <c r="S29" s="28"/>
      <c r="T29" s="28"/>
      <c r="U29" s="28"/>
      <c r="V29" s="28"/>
      <c r="W29" s="28"/>
      <c r="X29" s="18"/>
      <c r="AA29" s="7"/>
    </row>
    <row r="30" spans="1:31" s="5" customFormat="1" ht="15" customHeight="1" x14ac:dyDescent="0.25">
      <c r="C30" s="28"/>
      <c r="D30" s="329"/>
      <c r="E30" s="329"/>
      <c r="F30" s="329"/>
      <c r="G30" s="329"/>
      <c r="H30" s="182"/>
      <c r="I30" s="28"/>
      <c r="J30" s="316" t="str">
        <f>IF(ISBLANK('(3) Variantenbewertung'!$I$11),"",'(3) Variantenbewertung'!$I$11)</f>
        <v>V1</v>
      </c>
      <c r="K30" s="316"/>
      <c r="L30" s="18"/>
      <c r="M30" s="316" t="str">
        <f>IF(ISBLANK('(3) Variantenbewertung'!$L$11),"",'(3) Variantenbewertung'!$L$11)</f>
        <v>V2</v>
      </c>
      <c r="N30" s="316"/>
      <c r="O30" s="18"/>
      <c r="P30" s="316" t="str">
        <f>IF(ISBLANK('(3) Variantenbewertung'!$O$11),"",'(3) Variantenbewertung'!$O$11)</f>
        <v>V3</v>
      </c>
      <c r="Q30" s="316"/>
      <c r="R30" s="18"/>
      <c r="S30" s="316" t="str">
        <f>IF(ISBLANK('(3) Variantenbewertung'!$R$11),"",'(3) Variantenbewertung'!$R$11)</f>
        <v/>
      </c>
      <c r="T30" s="316"/>
      <c r="U30" s="18"/>
      <c r="V30" s="316" t="str">
        <f>IF(ISBLANK('(3) Variantenbewertung'!$U$11),"",'(3) Variantenbewertung'!$U$11)</f>
        <v/>
      </c>
      <c r="W30" s="316"/>
      <c r="X30" s="17"/>
      <c r="AA30" s="7"/>
    </row>
    <row r="31" spans="1:31" s="5" customFormat="1" ht="15" customHeight="1" x14ac:dyDescent="0.25">
      <c r="C31" s="28"/>
      <c r="D31" s="28"/>
      <c r="E31" s="27"/>
      <c r="F31" s="27"/>
      <c r="G31" s="28"/>
      <c r="H31" s="28"/>
      <c r="I31" s="28"/>
      <c r="J31" s="125" t="str">
        <f>IF($E$32="Nicht vorhanden","","(x) einfügen:")</f>
        <v>(x) einfügen:</v>
      </c>
      <c r="K31" s="53" t="str">
        <f>IF($E$32="Nicht vorhanden","","Bitte begründen:")</f>
        <v>Bitte begründen:</v>
      </c>
      <c r="L31" s="17"/>
      <c r="M31" s="125" t="str">
        <f>IF($E$32="Nicht vorhanden","","(x) einfügen:")</f>
        <v>(x) einfügen:</v>
      </c>
      <c r="N31" s="53" t="str">
        <f>IF($E$32="Nicht vorhanden","","Bitte begründen:")</f>
        <v>Bitte begründen:</v>
      </c>
      <c r="O31" s="17"/>
      <c r="P31" s="125" t="str">
        <f>IF($E$32="Nicht vorhanden","","(x) einfügen:")</f>
        <v>(x) einfügen:</v>
      </c>
      <c r="Q31" s="53" t="str">
        <f>IF($E$32="Nicht vorhanden","","Bitte begründen:")</f>
        <v>Bitte begründen:</v>
      </c>
      <c r="R31" s="17"/>
      <c r="S31" s="125" t="str">
        <f>IF($E$32="Nicht vorhanden","","(x) einfügen:")</f>
        <v>(x) einfügen:</v>
      </c>
      <c r="T31" s="53" t="str">
        <f>IF($E$32="Nicht vorhanden","","Bitte begründen:")</f>
        <v>Bitte begründen:</v>
      </c>
      <c r="U31" s="17"/>
      <c r="V31" s="125" t="str">
        <f>IF($E$32="Nicht vorhanden","","(x) einfügen:")</f>
        <v>(x) einfügen:</v>
      </c>
      <c r="W31" s="53" t="str">
        <f>IF($E$32="Nicht vorhanden","","Bitte begründen:")</f>
        <v>Bitte begründen:</v>
      </c>
      <c r="X31" s="17"/>
      <c r="AA31" s="7"/>
    </row>
    <row r="32" spans="1:31" s="5" customFormat="1" ht="15" customHeight="1" x14ac:dyDescent="0.25">
      <c r="C32" s="28"/>
      <c r="D32" s="30"/>
      <c r="E32" s="265" t="str">
        <f>IF(COUNTIF('(1) Grundlagen'!$C$13,TRUE)&lt;1,"Nicht vorhanden","nein / ja, Schutzziele werden ungeschmälert erhalten")</f>
        <v>nein / ja, Schutzziele werden ungeschmälert erhalten</v>
      </c>
      <c r="F32" s="265"/>
      <c r="G32" s="28"/>
      <c r="H32" s="28"/>
      <c r="I32" s="28"/>
      <c r="J32" s="199" t="s">
        <v>178</v>
      </c>
      <c r="K32" s="315"/>
      <c r="L32" s="18"/>
      <c r="M32" s="199"/>
      <c r="N32" s="315"/>
      <c r="O32" s="18"/>
      <c r="P32" s="199" t="s">
        <v>178</v>
      </c>
      <c r="Q32" s="315"/>
      <c r="R32" s="20"/>
      <c r="S32" s="199"/>
      <c r="T32" s="315"/>
      <c r="U32" s="18"/>
      <c r="V32" s="199"/>
      <c r="W32" s="315"/>
      <c r="X32" s="18"/>
      <c r="Z32" s="12"/>
      <c r="AA32" s="7"/>
    </row>
    <row r="33" spans="3:27" s="5" customFormat="1" ht="15" customHeight="1" x14ac:dyDescent="0.25">
      <c r="C33" s="36"/>
      <c r="D33" s="35"/>
      <c r="E33" s="265" t="str">
        <f>IF(COUNTIF('(1) Grundlagen'!$C$13,TRUE)&lt;1,"","ja, Schutzziele werden geringfügig beeinträchtigt")</f>
        <v>ja, Schutzziele werden geringfügig beeinträchtigt</v>
      </c>
      <c r="F33" s="265"/>
      <c r="G33" s="28"/>
      <c r="H33" s="28"/>
      <c r="I33" s="28"/>
      <c r="J33" s="99"/>
      <c r="K33" s="315"/>
      <c r="L33" s="18"/>
      <c r="M33" s="99" t="s">
        <v>178</v>
      </c>
      <c r="N33" s="315"/>
      <c r="O33" s="18"/>
      <c r="P33" s="99"/>
      <c r="Q33" s="315"/>
      <c r="R33" s="18"/>
      <c r="S33" s="99"/>
      <c r="T33" s="315"/>
      <c r="U33" s="18"/>
      <c r="V33" s="99"/>
      <c r="W33" s="315"/>
      <c r="X33" s="18"/>
      <c r="AA33" s="7"/>
    </row>
    <row r="34" spans="3:27" s="5" customFormat="1" ht="15" customHeight="1" x14ac:dyDescent="0.25">
      <c r="C34" s="28"/>
      <c r="D34" s="32"/>
      <c r="E34" s="265" t="str">
        <f>IF(COUNTIF('(1) Grundlagen'!$C$13,TRUE)&lt;1,"","ja, Schutzziele werden massgeblich beeinträchtigt")</f>
        <v>ja, Schutzziele werden massgeblich beeinträchtigt</v>
      </c>
      <c r="F34" s="265"/>
      <c r="G34" s="28"/>
      <c r="H34" s="28"/>
      <c r="I34" s="28"/>
      <c r="J34" s="99"/>
      <c r="K34" s="318"/>
      <c r="L34" s="18"/>
      <c r="M34" s="99"/>
      <c r="N34" s="318"/>
      <c r="O34" s="18"/>
      <c r="P34" s="99"/>
      <c r="Q34" s="318"/>
      <c r="R34" s="18"/>
      <c r="S34" s="99"/>
      <c r="T34" s="318"/>
      <c r="U34" s="18"/>
      <c r="V34" s="99"/>
      <c r="W34" s="318"/>
      <c r="X34" s="18"/>
      <c r="AA34" s="7"/>
    </row>
    <row r="35" spans="3:27" s="5" customFormat="1" ht="15" customHeight="1" x14ac:dyDescent="0.25">
      <c r="C35" s="28"/>
      <c r="D35" s="28"/>
      <c r="E35" s="28"/>
      <c r="F35" s="28"/>
      <c r="G35" s="28"/>
      <c r="H35" s="28"/>
      <c r="I35" s="28"/>
      <c r="J35" s="25" t="str">
        <f>IF($E$32="Nicht vorhanden","",IF(COUNTIF(J$32:J$34,"x")&lt;&gt;1,"FEHLER",IF(J$32="x","gut",IF(J$33="x","mässig","schlecht"))))</f>
        <v>gut</v>
      </c>
      <c r="K35" s="20"/>
      <c r="L35" s="18"/>
      <c r="M35" s="25" t="str">
        <f>IF($E$32="Nicht vorhanden","",IF(COUNTIF(M$32:M$34,"x")&lt;&gt;1,"FEHLER",IF(M$32="x","gut",IF(M$33="x","mässig","schlecht"))))</f>
        <v>mässig</v>
      </c>
      <c r="N35" s="20"/>
      <c r="O35" s="18"/>
      <c r="P35" s="25" t="str">
        <f>IF($E$32="Nicht vorhanden","",IF(COUNTIF(P$32:P$34,"x")&lt;&gt;1,"FEHLER",IF(P$32="x","gut",IF(P$33="x","mässig","schlecht"))))</f>
        <v>gut</v>
      </c>
      <c r="Q35" s="20"/>
      <c r="R35" s="18"/>
      <c r="S35" s="25" t="str">
        <f>IF($E$32="Nicht vorhanden","",IF(COUNTIF(S$32:S$34,"x")&lt;&gt;1,"FEHLER",IF(S$32="x","gut",IF(S$33="x","mässig","schlecht"))))</f>
        <v>FEHLER</v>
      </c>
      <c r="T35" s="20"/>
      <c r="U35" s="18"/>
      <c r="V35" s="25" t="str">
        <f>IF($E$32="Nicht vorhanden","",IF(COUNTIF(V$32:V$34,"x")&lt;&gt;1,"FEHLER",IF(V$32="x","gut",IF(V$33="x","mässig","schlecht"))))</f>
        <v>FEHLER</v>
      </c>
      <c r="W35" s="20"/>
      <c r="X35" s="18"/>
      <c r="Y35" s="54"/>
      <c r="AA35" s="7"/>
    </row>
    <row r="36" spans="3:27" s="5" customFormat="1" ht="15" customHeight="1" x14ac:dyDescent="0.25">
      <c r="C36" s="28"/>
      <c r="D36" s="28"/>
      <c r="E36" s="28"/>
      <c r="F36" s="28"/>
      <c r="G36" s="28"/>
      <c r="H36" s="28"/>
      <c r="I36" s="28"/>
      <c r="J36" s="20"/>
      <c r="K36" s="20"/>
      <c r="L36" s="18"/>
      <c r="M36" s="20"/>
      <c r="N36" s="20"/>
      <c r="O36" s="18"/>
      <c r="P36" s="20"/>
      <c r="Q36" s="20"/>
      <c r="R36" s="18"/>
      <c r="S36" s="20"/>
      <c r="T36" s="20"/>
      <c r="U36" s="18"/>
      <c r="V36" s="20"/>
      <c r="W36" s="20"/>
      <c r="X36" s="18"/>
      <c r="Y36" s="54"/>
      <c r="AA36" s="7"/>
    </row>
    <row r="37" spans="3:27" s="5" customFormat="1" ht="15" customHeight="1" x14ac:dyDescent="0.25">
      <c r="J37" s="3"/>
      <c r="L37" s="1"/>
      <c r="M37" s="3"/>
      <c r="N37" s="3"/>
      <c r="O37" s="1"/>
      <c r="P37" s="3"/>
      <c r="Q37" s="3"/>
      <c r="R37" s="1"/>
      <c r="S37" s="3"/>
      <c r="T37" s="3"/>
      <c r="U37" s="1"/>
      <c r="V37" s="3"/>
      <c r="W37" s="3"/>
      <c r="X37" s="1"/>
      <c r="AA37" s="7"/>
    </row>
    <row r="38" spans="3:27" s="5" customFormat="1" ht="15" customHeight="1" x14ac:dyDescent="0.25">
      <c r="J38" s="3"/>
      <c r="K38" s="3"/>
      <c r="L38" s="1"/>
      <c r="M38" s="3"/>
      <c r="N38" s="3"/>
      <c r="O38" s="1"/>
      <c r="P38" s="3"/>
      <c r="Q38" s="3"/>
      <c r="R38" s="1"/>
      <c r="S38" s="3"/>
      <c r="T38" s="3"/>
      <c r="U38" s="1"/>
      <c r="V38" s="3"/>
      <c r="W38" s="3"/>
      <c r="X38" s="1"/>
      <c r="AA38" s="7"/>
    </row>
    <row r="39" spans="3:27" s="5" customFormat="1" ht="15" customHeight="1" x14ac:dyDescent="0.25">
      <c r="C39" s="266" t="s">
        <v>377</v>
      </c>
      <c r="D39" s="266"/>
      <c r="E39" s="266"/>
      <c r="F39" s="266"/>
      <c r="G39" s="45"/>
      <c r="H39" s="45"/>
      <c r="I39" s="28"/>
      <c r="J39" s="18"/>
      <c r="K39" s="18"/>
      <c r="L39" s="18"/>
      <c r="M39" s="18"/>
      <c r="N39" s="18"/>
      <c r="O39" s="18"/>
      <c r="P39" s="18"/>
      <c r="Q39" s="18"/>
      <c r="R39" s="18"/>
      <c r="S39" s="18"/>
      <c r="T39" s="18"/>
      <c r="U39" s="18"/>
      <c r="V39" s="18"/>
      <c r="W39" s="18"/>
      <c r="X39" s="18"/>
      <c r="AA39" s="7"/>
    </row>
    <row r="40" spans="3:27" s="5" customFormat="1" ht="15" customHeight="1" x14ac:dyDescent="0.25">
      <c r="C40" s="28"/>
      <c r="D40" s="321" t="s">
        <v>144</v>
      </c>
      <c r="E40" s="329"/>
      <c r="F40" s="329"/>
      <c r="G40" s="329"/>
      <c r="H40" s="182"/>
      <c r="I40" s="28"/>
      <c r="J40" s="28"/>
      <c r="K40" s="28"/>
      <c r="L40" s="28"/>
      <c r="M40" s="28"/>
      <c r="N40" s="28"/>
      <c r="O40" s="28"/>
      <c r="P40" s="28"/>
      <c r="Q40" s="28"/>
      <c r="R40" s="28"/>
      <c r="S40" s="28"/>
      <c r="T40" s="28"/>
      <c r="U40" s="28"/>
      <c r="V40" s="28"/>
      <c r="W40" s="28"/>
      <c r="X40" s="18"/>
      <c r="AA40" s="7"/>
    </row>
    <row r="41" spans="3:27" s="5" customFormat="1" ht="15" customHeight="1" x14ac:dyDescent="0.25">
      <c r="C41" s="28"/>
      <c r="D41" s="329"/>
      <c r="E41" s="329"/>
      <c r="F41" s="329"/>
      <c r="G41" s="329"/>
      <c r="H41" s="182"/>
      <c r="I41" s="28"/>
      <c r="J41" s="316" t="str">
        <f>IF(ISBLANK('(3) Variantenbewertung'!$I$11),"",'(3) Variantenbewertung'!$I$11)</f>
        <v>V1</v>
      </c>
      <c r="K41" s="316"/>
      <c r="L41" s="18"/>
      <c r="M41" s="316" t="str">
        <f>IF(ISBLANK('(3) Variantenbewertung'!$L$11),"",'(3) Variantenbewertung'!$L$11)</f>
        <v>V2</v>
      </c>
      <c r="N41" s="316"/>
      <c r="O41" s="18"/>
      <c r="P41" s="316" t="str">
        <f>IF(ISBLANK('(3) Variantenbewertung'!$O$11),"",'(3) Variantenbewertung'!$O$11)</f>
        <v>V3</v>
      </c>
      <c r="Q41" s="316"/>
      <c r="R41" s="18"/>
      <c r="S41" s="316" t="str">
        <f>IF(ISBLANK('(3) Variantenbewertung'!$R$11),"",'(3) Variantenbewertung'!$R$11)</f>
        <v/>
      </c>
      <c r="T41" s="316"/>
      <c r="U41" s="18"/>
      <c r="V41" s="316" t="str">
        <f>IF(ISBLANK('(3) Variantenbewertung'!$U$11),"",'(3) Variantenbewertung'!$U$11)</f>
        <v/>
      </c>
      <c r="W41" s="316"/>
      <c r="X41" s="17"/>
      <c r="AA41" s="7"/>
    </row>
    <row r="42" spans="3:27" s="5" customFormat="1" ht="15" customHeight="1" x14ac:dyDescent="0.25">
      <c r="C42" s="28"/>
      <c r="D42" s="28"/>
      <c r="E42" s="27"/>
      <c r="F42" s="27"/>
      <c r="G42" s="28"/>
      <c r="H42" s="28"/>
      <c r="I42" s="28"/>
      <c r="J42" s="125" t="str">
        <f>IF($E$43="Nicht vorhanden","","(x) einfügen:")</f>
        <v>(x) einfügen:</v>
      </c>
      <c r="K42" s="53" t="str">
        <f>IF($E$43="Nicht vorhanden","","Bitte begründen:")</f>
        <v>Bitte begründen:</v>
      </c>
      <c r="L42" s="17"/>
      <c r="M42" s="125" t="str">
        <f>IF($E$43="Nicht vorhanden","","(x) einfügen:")</f>
        <v>(x) einfügen:</v>
      </c>
      <c r="N42" s="53" t="str">
        <f>IF($E$43="Nicht vorhanden","","Bitte begründen:")</f>
        <v>Bitte begründen:</v>
      </c>
      <c r="O42" s="17"/>
      <c r="P42" s="125" t="str">
        <f>IF($E$43="Nicht vorhanden","","(x) einfügen:")</f>
        <v>(x) einfügen:</v>
      </c>
      <c r="Q42" s="53" t="str">
        <f>IF($E$43="Nicht vorhanden","","Bitte begründen:")</f>
        <v>Bitte begründen:</v>
      </c>
      <c r="R42" s="17"/>
      <c r="S42" s="125" t="str">
        <f>IF($E$43="Nicht vorhanden","","(x) einfügen:")</f>
        <v>(x) einfügen:</v>
      </c>
      <c r="T42" s="53" t="str">
        <f>IF($E$43="Nicht vorhanden","","Bitte begründen:")</f>
        <v>Bitte begründen:</v>
      </c>
      <c r="U42" s="17"/>
      <c r="V42" s="125" t="str">
        <f>IF($E$43="Nicht vorhanden","","(x) einfügen:")</f>
        <v>(x) einfügen:</v>
      </c>
      <c r="W42" s="53" t="str">
        <f>IF($E$43="Nicht vorhanden","","Bitte begründen:")</f>
        <v>Bitte begründen:</v>
      </c>
      <c r="X42" s="17"/>
      <c r="AA42" s="7"/>
    </row>
    <row r="43" spans="3:27" s="5" customFormat="1" ht="15" customHeight="1" x14ac:dyDescent="0.25">
      <c r="C43" s="28"/>
      <c r="D43" s="30"/>
      <c r="E43" s="298" t="str">
        <f>IF(COUNTIF('(1) Grundlagen'!$C$16,TRUE)&lt;1,"Nicht vorhanden","nein / ja, Schutzziele werden ungeschmälert erhalten")</f>
        <v>nein / ja, Schutzziele werden ungeschmälert erhalten</v>
      </c>
      <c r="F43" s="228"/>
      <c r="G43" s="28"/>
      <c r="H43" s="28"/>
      <c r="I43" s="28"/>
      <c r="J43" s="199" t="s">
        <v>178</v>
      </c>
      <c r="K43" s="318"/>
      <c r="L43" s="18"/>
      <c r="M43" s="199"/>
      <c r="N43" s="318"/>
      <c r="O43" s="18"/>
      <c r="P43" s="199" t="s">
        <v>178</v>
      </c>
      <c r="Q43" s="318"/>
      <c r="R43" s="20"/>
      <c r="S43" s="199"/>
      <c r="T43" s="318"/>
      <c r="U43" s="18"/>
      <c r="V43" s="199"/>
      <c r="W43" s="318"/>
      <c r="X43" s="18"/>
      <c r="Y43" s="6"/>
      <c r="AA43" s="7"/>
    </row>
    <row r="44" spans="3:27" s="5" customFormat="1" ht="15" customHeight="1" x14ac:dyDescent="0.25">
      <c r="C44" s="36"/>
      <c r="D44" s="35"/>
      <c r="E44" s="265" t="str">
        <f>IF(COUNTIF('(1) Grundlagen'!$C$16,TRUE)&lt;1,"","ja, Schutzziele werden geringfügig beeinträchtigt")</f>
        <v>ja, Schutzziele werden geringfügig beeinträchtigt</v>
      </c>
      <c r="F44" s="265"/>
      <c r="G44" s="28"/>
      <c r="H44" s="28"/>
      <c r="I44" s="28"/>
      <c r="J44" s="99"/>
      <c r="K44" s="319"/>
      <c r="L44" s="18"/>
      <c r="M44" s="99" t="s">
        <v>178</v>
      </c>
      <c r="N44" s="319"/>
      <c r="O44" s="18"/>
      <c r="P44" s="99"/>
      <c r="Q44" s="319"/>
      <c r="R44" s="18"/>
      <c r="S44" s="99"/>
      <c r="T44" s="319"/>
      <c r="U44" s="18"/>
      <c r="V44" s="99"/>
      <c r="W44" s="319"/>
      <c r="X44" s="18"/>
      <c r="Y44" s="6"/>
      <c r="AA44" s="7"/>
    </row>
    <row r="45" spans="3:27" s="5" customFormat="1" ht="15" customHeight="1" x14ac:dyDescent="0.25">
      <c r="C45" s="28"/>
      <c r="D45" s="32"/>
      <c r="E45" s="265" t="str">
        <f>IF(COUNTIF('(1) Grundlagen'!$C$16,TRUE)&lt;1,"","ja, Schutzziele werden massgeblich beeinträchtigt")</f>
        <v>ja, Schutzziele werden massgeblich beeinträchtigt</v>
      </c>
      <c r="F45" s="265"/>
      <c r="G45" s="28"/>
      <c r="H45" s="28"/>
      <c r="I45" s="28"/>
      <c r="J45" s="99"/>
      <c r="K45" s="320"/>
      <c r="L45" s="18"/>
      <c r="M45" s="99"/>
      <c r="N45" s="320"/>
      <c r="O45" s="18"/>
      <c r="P45" s="99"/>
      <c r="Q45" s="320"/>
      <c r="R45" s="18"/>
      <c r="S45" s="99"/>
      <c r="T45" s="320"/>
      <c r="U45" s="18"/>
      <c r="V45" s="99"/>
      <c r="W45" s="320"/>
      <c r="X45" s="18"/>
      <c r="Y45" s="6"/>
      <c r="AA45" s="7"/>
    </row>
    <row r="46" spans="3:27" s="5" customFormat="1" ht="15" customHeight="1" x14ac:dyDescent="0.25">
      <c r="C46" s="28"/>
      <c r="D46" s="28"/>
      <c r="E46" s="28"/>
      <c r="F46" s="28"/>
      <c r="G46" s="28"/>
      <c r="H46" s="28"/>
      <c r="I46" s="28"/>
      <c r="J46" s="25" t="str">
        <f>IF($E$43="Nicht vorhanden","",IF(COUNTIF(J$43:J$45,"x")&lt;&gt;1,"FEHLER",IF(J$43="x","gut",IF(J$44="x","mässig","schlecht"))))</f>
        <v>gut</v>
      </c>
      <c r="K46" s="20"/>
      <c r="L46" s="18"/>
      <c r="M46" s="25" t="str">
        <f>IF($E$43="Nicht vorhanden","",IF(COUNTIF(M$43:M$45,"x")&lt;&gt;1,"FEHLER",IF(M$43="x","gut",IF(M$44="x","mässig","schlecht"))))</f>
        <v>mässig</v>
      </c>
      <c r="N46" s="20"/>
      <c r="O46" s="18"/>
      <c r="P46" s="25" t="str">
        <f>IF($E$43="Nicht vorhanden","",IF(COUNTIF(P$43:P$45,"x")&lt;&gt;1,"FEHLER",IF(P$43="x","gut",IF(P$44="x","mässig","schlecht"))))</f>
        <v>gut</v>
      </c>
      <c r="Q46" s="20"/>
      <c r="R46" s="18"/>
      <c r="S46" s="25" t="str">
        <f>IF($E$43="Nicht vorhanden","",IF(COUNTIF(S$43:S$45,"x")&lt;&gt;1,"FEHLER",IF(S$43="x","gut",IF(S$44="x","mässig","schlecht"))))</f>
        <v>FEHLER</v>
      </c>
      <c r="T46" s="20"/>
      <c r="U46" s="18"/>
      <c r="V46" s="25" t="str">
        <f>IF($E$43="Nicht vorhanden","",IF(COUNTIF(V$43:V$45,"x")&lt;&gt;1,"FEHLER",IF(V$43="x","gut",IF(V$44="x","mässig","schlecht"))))</f>
        <v>FEHLER</v>
      </c>
      <c r="W46" s="20"/>
      <c r="X46" s="18"/>
      <c r="Y46" s="6"/>
      <c r="AA46" s="7"/>
    </row>
    <row r="47" spans="3:27" s="5" customFormat="1" ht="15" customHeight="1" x14ac:dyDescent="0.25">
      <c r="C47" s="28"/>
      <c r="D47" s="28"/>
      <c r="E47" s="28"/>
      <c r="F47" s="28"/>
      <c r="G47" s="28"/>
      <c r="H47" s="28"/>
      <c r="I47" s="28"/>
      <c r="J47" s="20"/>
      <c r="K47" s="20"/>
      <c r="L47" s="18"/>
      <c r="M47" s="20"/>
      <c r="N47" s="20"/>
      <c r="O47" s="18"/>
      <c r="P47" s="20"/>
      <c r="Q47" s="20"/>
      <c r="R47" s="18"/>
      <c r="S47" s="20"/>
      <c r="T47" s="20"/>
      <c r="U47" s="18"/>
      <c r="V47" s="20"/>
      <c r="W47" s="20"/>
      <c r="X47" s="18"/>
      <c r="Y47" s="6"/>
      <c r="AA47" s="7"/>
    </row>
    <row r="48" spans="3:27" s="5" customFormat="1" ht="15" customHeight="1" x14ac:dyDescent="0.25">
      <c r="E48" s="280"/>
      <c r="F48" s="280"/>
      <c r="G48" s="6"/>
      <c r="H48" s="6"/>
      <c r="I48" s="6"/>
      <c r="J48" s="1"/>
      <c r="K48" s="1"/>
      <c r="L48" s="1"/>
      <c r="M48" s="1"/>
      <c r="N48" s="1"/>
      <c r="O48" s="1"/>
      <c r="P48" s="1"/>
      <c r="Q48" s="1"/>
      <c r="R48" s="1"/>
      <c r="S48" s="1"/>
      <c r="T48" s="1"/>
      <c r="U48" s="1"/>
      <c r="V48" s="1"/>
      <c r="W48" s="1"/>
      <c r="X48" s="1"/>
      <c r="AA48" s="7"/>
    </row>
    <row r="49" spans="3:27" s="5" customFormat="1" ht="15" customHeight="1" x14ac:dyDescent="0.25">
      <c r="G49" s="6"/>
      <c r="H49" s="6"/>
      <c r="I49" s="6"/>
      <c r="J49" s="1"/>
      <c r="K49" s="1"/>
      <c r="L49" s="1"/>
      <c r="M49" s="1"/>
      <c r="N49" s="1"/>
      <c r="O49" s="1"/>
      <c r="P49" s="1"/>
      <c r="Q49" s="1"/>
      <c r="R49" s="1"/>
      <c r="S49" s="1"/>
      <c r="T49" s="1"/>
      <c r="U49" s="1"/>
      <c r="V49" s="1"/>
      <c r="W49" s="1"/>
      <c r="X49" s="1"/>
      <c r="AA49" s="7"/>
    </row>
    <row r="50" spans="3:27" s="5" customFormat="1" ht="15" customHeight="1" x14ac:dyDescent="0.25">
      <c r="C50" s="266" t="s">
        <v>378</v>
      </c>
      <c r="D50" s="266"/>
      <c r="E50" s="266"/>
      <c r="F50" s="266"/>
      <c r="G50" s="45"/>
      <c r="H50" s="45"/>
      <c r="I50" s="28"/>
      <c r="J50" s="18"/>
      <c r="K50" s="18"/>
      <c r="L50" s="18"/>
      <c r="M50" s="18"/>
      <c r="N50" s="18"/>
      <c r="O50" s="18"/>
      <c r="P50" s="18"/>
      <c r="Q50" s="18"/>
      <c r="R50" s="18"/>
      <c r="S50" s="18"/>
      <c r="T50" s="18"/>
      <c r="U50" s="18"/>
      <c r="V50" s="18"/>
      <c r="W50" s="18"/>
      <c r="X50" s="18"/>
      <c r="AA50" s="7"/>
    </row>
    <row r="51" spans="3:27" s="5" customFormat="1" ht="15" customHeight="1" x14ac:dyDescent="0.25">
      <c r="C51" s="28"/>
      <c r="D51" s="321" t="s">
        <v>145</v>
      </c>
      <c r="E51" s="329"/>
      <c r="F51" s="329"/>
      <c r="G51" s="329"/>
      <c r="H51" s="182"/>
      <c r="I51" s="28"/>
      <c r="J51" s="28"/>
      <c r="K51" s="28"/>
      <c r="L51" s="28"/>
      <c r="M51" s="28"/>
      <c r="N51" s="28"/>
      <c r="O51" s="28"/>
      <c r="P51" s="28"/>
      <c r="Q51" s="28"/>
      <c r="R51" s="28"/>
      <c r="S51" s="28"/>
      <c r="T51" s="28"/>
      <c r="U51" s="28"/>
      <c r="V51" s="28"/>
      <c r="W51" s="28"/>
      <c r="X51" s="18"/>
      <c r="AA51" s="7"/>
    </row>
    <row r="52" spans="3:27" s="5" customFormat="1" ht="15" customHeight="1" x14ac:dyDescent="0.25">
      <c r="C52" s="28"/>
      <c r="D52" s="329"/>
      <c r="E52" s="329"/>
      <c r="F52" s="329"/>
      <c r="G52" s="329"/>
      <c r="H52" s="182"/>
      <c r="I52" s="28"/>
      <c r="J52" s="316" t="str">
        <f>IF(ISBLANK('(3) Variantenbewertung'!$I$11),"",'(3) Variantenbewertung'!$I$11)</f>
        <v>V1</v>
      </c>
      <c r="K52" s="316"/>
      <c r="L52" s="18"/>
      <c r="M52" s="316" t="str">
        <f>IF(ISBLANK('(3) Variantenbewertung'!$L$11),"",'(3) Variantenbewertung'!$L$11)</f>
        <v>V2</v>
      </c>
      <c r="N52" s="316"/>
      <c r="O52" s="18"/>
      <c r="P52" s="316" t="str">
        <f>IF(ISBLANK('(3) Variantenbewertung'!$O$11),"",'(3) Variantenbewertung'!$O$11)</f>
        <v>V3</v>
      </c>
      <c r="Q52" s="316"/>
      <c r="R52" s="18"/>
      <c r="S52" s="316" t="str">
        <f>IF(ISBLANK('(3) Variantenbewertung'!$R$11),"",'(3) Variantenbewertung'!$R$11)</f>
        <v/>
      </c>
      <c r="T52" s="316"/>
      <c r="U52" s="18"/>
      <c r="V52" s="316" t="str">
        <f>IF(ISBLANK('(3) Variantenbewertung'!$U$11),"",'(3) Variantenbewertung'!$U$11)</f>
        <v/>
      </c>
      <c r="W52" s="316"/>
      <c r="X52" s="17"/>
      <c r="AA52" s="7"/>
    </row>
    <row r="53" spans="3:27" s="5" customFormat="1" ht="15" customHeight="1" x14ac:dyDescent="0.25">
      <c r="C53" s="28"/>
      <c r="D53" s="28"/>
      <c r="E53" s="27"/>
      <c r="F53" s="27"/>
      <c r="G53" s="28"/>
      <c r="H53" s="28"/>
      <c r="I53" s="28"/>
      <c r="J53" s="125" t="str">
        <f>IF($E$54="Nicht vorhanden","","(x) einfügen:")</f>
        <v>(x) einfügen:</v>
      </c>
      <c r="K53" s="53" t="str">
        <f>IF($E$54="Nicht vorhanden","","Bitte begründen:")</f>
        <v>Bitte begründen:</v>
      </c>
      <c r="L53" s="17"/>
      <c r="M53" s="125" t="str">
        <f>IF($E$54="Nicht vorhanden","","(x) einfügen:")</f>
        <v>(x) einfügen:</v>
      </c>
      <c r="N53" s="53" t="str">
        <f>IF($E$54="Nicht vorhanden","","Bitte begründen:")</f>
        <v>Bitte begründen:</v>
      </c>
      <c r="O53" s="17"/>
      <c r="P53" s="125" t="str">
        <f>IF($E$54="Nicht vorhanden","","(x) einfügen:")</f>
        <v>(x) einfügen:</v>
      </c>
      <c r="Q53" s="53" t="str">
        <f>IF($E$54="Nicht vorhanden","","Bitte begründen:")</f>
        <v>Bitte begründen:</v>
      </c>
      <c r="R53" s="17"/>
      <c r="S53" s="125" t="str">
        <f>IF($E$54="Nicht vorhanden","","(x) einfügen:")</f>
        <v>(x) einfügen:</v>
      </c>
      <c r="T53" s="53" t="str">
        <f>IF($E$54="Nicht vorhanden","","Bitte begründen:")</f>
        <v>Bitte begründen:</v>
      </c>
      <c r="U53" s="17"/>
      <c r="V53" s="125" t="str">
        <f>IF($E$54="Nicht vorhanden","","(x) einfügen:")</f>
        <v>(x) einfügen:</v>
      </c>
      <c r="W53" s="53" t="str">
        <f>IF($E$54="Nicht vorhanden","","Bitte begründen:")</f>
        <v>Bitte begründen:</v>
      </c>
      <c r="X53" s="17"/>
      <c r="AA53" s="7"/>
    </row>
    <row r="54" spans="3:27" s="5" customFormat="1" ht="15" customHeight="1" x14ac:dyDescent="0.25">
      <c r="C54" s="28"/>
      <c r="D54" s="30"/>
      <c r="E54" s="298" t="str">
        <f>IF(COUNTIF('(1) Grundlagen'!$C$19,TRUE)&lt;1,"Nicht vorhanden","nein / ja, Schutzziele werden ungeschmälert erhalten")</f>
        <v>nein / ja, Schutzziele werden ungeschmälert erhalten</v>
      </c>
      <c r="F54" s="228"/>
      <c r="G54" s="28"/>
      <c r="H54" s="28"/>
      <c r="I54" s="28"/>
      <c r="J54" s="199" t="s">
        <v>178</v>
      </c>
      <c r="K54" s="318"/>
      <c r="L54" s="18"/>
      <c r="M54" s="199" t="s">
        <v>178</v>
      </c>
      <c r="N54" s="318"/>
      <c r="O54" s="18"/>
      <c r="P54" s="199"/>
      <c r="Q54" s="318"/>
      <c r="R54" s="20"/>
      <c r="S54" s="199"/>
      <c r="T54" s="318"/>
      <c r="U54" s="18"/>
      <c r="V54" s="199"/>
      <c r="W54" s="318"/>
      <c r="X54" s="18"/>
      <c r="AA54" s="7"/>
    </row>
    <row r="55" spans="3:27" s="5" customFormat="1" ht="15" customHeight="1" x14ac:dyDescent="0.25">
      <c r="C55" s="36"/>
      <c r="D55" s="35"/>
      <c r="E55" s="265" t="str">
        <f>IF(COUNTIF('(1) Grundlagen'!$C$19,TRUE)&lt;1,"","ja, Schutzziele werden geringfügig beeinträchtigt")</f>
        <v>ja, Schutzziele werden geringfügig beeinträchtigt</v>
      </c>
      <c r="F55" s="265"/>
      <c r="G55" s="28"/>
      <c r="H55" s="28"/>
      <c r="I55" s="28"/>
      <c r="J55" s="99"/>
      <c r="K55" s="319"/>
      <c r="L55" s="18"/>
      <c r="M55" s="99"/>
      <c r="N55" s="319"/>
      <c r="O55" s="18"/>
      <c r="P55" s="99" t="s">
        <v>178</v>
      </c>
      <c r="Q55" s="319"/>
      <c r="R55" s="18"/>
      <c r="S55" s="99"/>
      <c r="T55" s="319"/>
      <c r="U55" s="18"/>
      <c r="V55" s="99"/>
      <c r="W55" s="319"/>
      <c r="X55" s="18"/>
      <c r="Y55" s="6"/>
      <c r="AA55" s="7"/>
    </row>
    <row r="56" spans="3:27" ht="15" customHeight="1" x14ac:dyDescent="0.25">
      <c r="C56" s="28"/>
      <c r="D56" s="32"/>
      <c r="E56" s="265" t="str">
        <f>IF(COUNTIF('(1) Grundlagen'!$C$19,TRUE)&lt;1,"","ja, Schutzziele werden massgeblich beeinträchtigt")</f>
        <v>ja, Schutzziele werden massgeblich beeinträchtigt</v>
      </c>
      <c r="F56" s="265"/>
      <c r="G56" s="28"/>
      <c r="H56" s="28"/>
      <c r="I56" s="28"/>
      <c r="J56" s="99"/>
      <c r="K56" s="319"/>
      <c r="L56" s="18"/>
      <c r="M56" s="99"/>
      <c r="N56" s="319"/>
      <c r="O56" s="18"/>
      <c r="P56" s="99"/>
      <c r="Q56" s="319"/>
      <c r="R56" s="18"/>
      <c r="S56" s="99"/>
      <c r="T56" s="319"/>
      <c r="U56" s="18"/>
      <c r="V56" s="99"/>
      <c r="W56" s="319"/>
      <c r="X56" s="18"/>
      <c r="Y56" s="6"/>
    </row>
    <row r="57" spans="3:27" ht="15" customHeight="1" x14ac:dyDescent="0.25">
      <c r="C57" s="28"/>
      <c r="D57" s="28"/>
      <c r="E57" s="28"/>
      <c r="F57" s="28"/>
      <c r="G57" s="28"/>
      <c r="H57" s="28"/>
      <c r="I57" s="28"/>
      <c r="J57" s="166" t="str">
        <f>IF($E$54="Nicht vorhanden","",IF(COUNTIF(J$54:J$56,"x")&lt;&gt;1,"FEHLER",IF(J$54="x","gut",IF(J$55="x","mässig","schlecht"))))</f>
        <v>gut</v>
      </c>
      <c r="K57" s="20"/>
      <c r="L57" s="18"/>
      <c r="M57" s="166" t="str">
        <f>IF($E$54="Nicht vorhanden","",IF(COUNTIF(M$54:M$56,"x")&lt;&gt;1,"FEHLER",IF(M$54="x","gut",IF(M$55="x","mässig","schlecht"))))</f>
        <v>gut</v>
      </c>
      <c r="N57" s="20"/>
      <c r="O57" s="18"/>
      <c r="P57" s="166" t="str">
        <f>IF($E$54="Nicht vorhanden","",IF(COUNTIF(P$54:P$56,"x")&lt;&gt;1,"FEHLER",IF(P$54="x","gut",IF(P$55="x","mässig","schlecht"))))</f>
        <v>mässig</v>
      </c>
      <c r="Q57" s="20"/>
      <c r="R57" s="18"/>
      <c r="S57" s="166" t="str">
        <f>IF($E$54="Nicht vorhanden","",IF(COUNTIF(S$54:S$56,"x")&lt;&gt;1,"FEHLER",IF(S$54="x","gut",IF(S$55="x","mässig","schlecht"))))</f>
        <v>FEHLER</v>
      </c>
      <c r="T57" s="20"/>
      <c r="U57" s="18"/>
      <c r="V57" s="166" t="str">
        <f>IF($E$54="Nicht vorhanden","",IF(COUNTIF(V$54:V$56,"x")&lt;&gt;1,"FEHLER",IF(V$54="x","gut",IF(V$55="x","mässig","schlecht"))))</f>
        <v>FEHLER</v>
      </c>
      <c r="W57" s="20"/>
      <c r="X57" s="18"/>
      <c r="Y57" s="6"/>
    </row>
    <row r="58" spans="3:27" ht="15" customHeight="1" x14ac:dyDescent="0.25">
      <c r="C58" s="28"/>
      <c r="D58" s="28"/>
      <c r="E58" s="28"/>
      <c r="F58" s="28"/>
      <c r="G58" s="28"/>
      <c r="H58" s="28"/>
      <c r="I58" s="28"/>
      <c r="J58" s="20"/>
      <c r="K58" s="20"/>
      <c r="L58" s="18"/>
      <c r="M58" s="20"/>
      <c r="N58" s="20"/>
      <c r="O58" s="18"/>
      <c r="P58" s="20"/>
      <c r="Q58" s="20"/>
      <c r="R58" s="18"/>
      <c r="S58" s="20"/>
      <c r="T58" s="20"/>
      <c r="U58" s="18"/>
      <c r="V58" s="20"/>
      <c r="W58" s="20"/>
      <c r="X58" s="18"/>
      <c r="Y58" s="6"/>
    </row>
    <row r="59" spans="3:27" ht="15" customHeight="1" x14ac:dyDescent="0.25"/>
    <row r="60" spans="3:27" ht="15" customHeight="1" x14ac:dyDescent="0.25"/>
    <row r="61" spans="3:27" ht="15" customHeight="1" x14ac:dyDescent="0.25">
      <c r="C61" s="266" t="s">
        <v>379</v>
      </c>
      <c r="D61" s="266"/>
      <c r="E61" s="266"/>
      <c r="F61" s="266"/>
      <c r="G61" s="45"/>
      <c r="H61" s="45"/>
      <c r="I61" s="28"/>
      <c r="J61" s="18"/>
      <c r="K61" s="18"/>
      <c r="L61" s="18"/>
      <c r="M61" s="18"/>
      <c r="N61" s="18"/>
      <c r="O61" s="18"/>
      <c r="P61" s="18"/>
      <c r="Q61" s="18"/>
      <c r="R61" s="18"/>
      <c r="S61" s="18"/>
      <c r="T61" s="18"/>
      <c r="U61" s="18"/>
      <c r="V61" s="18"/>
      <c r="W61" s="18"/>
      <c r="X61" s="18"/>
    </row>
    <row r="62" spans="3:27" ht="15" customHeight="1" x14ac:dyDescent="0.25">
      <c r="C62" s="28"/>
      <c r="D62" s="321" t="s">
        <v>146</v>
      </c>
      <c r="E62" s="329"/>
      <c r="F62" s="329"/>
      <c r="G62" s="329"/>
      <c r="H62" s="182"/>
      <c r="I62" s="28"/>
      <c r="J62" s="39"/>
      <c r="K62" s="39"/>
      <c r="L62" s="39"/>
      <c r="M62" s="39"/>
      <c r="N62" s="39"/>
      <c r="O62" s="39"/>
      <c r="P62" s="39"/>
      <c r="Q62" s="39"/>
      <c r="R62" s="39"/>
      <c r="S62" s="39"/>
      <c r="T62" s="39"/>
      <c r="U62" s="39"/>
      <c r="V62" s="39"/>
      <c r="W62" s="39"/>
      <c r="X62" s="18"/>
    </row>
    <row r="63" spans="3:27" ht="15" customHeight="1" x14ac:dyDescent="0.25">
      <c r="C63" s="28"/>
      <c r="D63" s="329"/>
      <c r="E63" s="329"/>
      <c r="F63" s="329"/>
      <c r="G63" s="329"/>
      <c r="H63" s="182"/>
      <c r="I63" s="28"/>
      <c r="J63" s="316" t="str">
        <f>IF(ISBLANK('(3) Variantenbewertung'!$I$11),"",'(3) Variantenbewertung'!$I$11)</f>
        <v>V1</v>
      </c>
      <c r="K63" s="316"/>
      <c r="L63" s="18"/>
      <c r="M63" s="316" t="str">
        <f>IF(ISBLANK('(3) Variantenbewertung'!$L$11),"",'(3) Variantenbewertung'!$L$11)</f>
        <v>V2</v>
      </c>
      <c r="N63" s="316"/>
      <c r="O63" s="18"/>
      <c r="P63" s="316" t="str">
        <f>IF(ISBLANK('(3) Variantenbewertung'!$O$11),"",'(3) Variantenbewertung'!$O$11)</f>
        <v>V3</v>
      </c>
      <c r="Q63" s="316"/>
      <c r="R63" s="18"/>
      <c r="S63" s="316" t="str">
        <f>IF(ISBLANK('(3) Variantenbewertung'!$R$11),"",'(3) Variantenbewertung'!$R$11)</f>
        <v/>
      </c>
      <c r="T63" s="316"/>
      <c r="U63" s="18"/>
      <c r="V63" s="316" t="str">
        <f>IF(ISBLANK('(3) Variantenbewertung'!$U$11),"",'(3) Variantenbewertung'!$U$11)</f>
        <v/>
      </c>
      <c r="W63" s="316"/>
      <c r="X63" s="17"/>
    </row>
    <row r="64" spans="3:27" ht="15" customHeight="1" x14ac:dyDescent="0.25">
      <c r="C64" s="28"/>
      <c r="D64" s="28"/>
      <c r="E64" s="27"/>
      <c r="F64" s="27"/>
      <c r="G64" s="28"/>
      <c r="H64" s="28"/>
      <c r="I64" s="28"/>
      <c r="J64" s="125" t="str">
        <f>IF($E$65="Nicht vorhanden","","(x) einfügen:")</f>
        <v>(x) einfügen:</v>
      </c>
      <c r="K64" s="53" t="str">
        <f>IF($E$65="Nicht vorhanden","","Bitte begründen:")</f>
        <v>Bitte begründen:</v>
      </c>
      <c r="L64" s="17"/>
      <c r="M64" s="125" t="str">
        <f>IF($E$65="Nicht vorhanden","","(x) einfügen:")</f>
        <v>(x) einfügen:</v>
      </c>
      <c r="N64" s="53" t="str">
        <f>IF($E$65="Nicht vorhanden","","Bitte begründen:")</f>
        <v>Bitte begründen:</v>
      </c>
      <c r="O64" s="17"/>
      <c r="P64" s="125" t="str">
        <f>IF($E$65="Nicht vorhanden","","(x) einfügen:")</f>
        <v>(x) einfügen:</v>
      </c>
      <c r="Q64" s="53" t="str">
        <f>IF($E$65="Nicht vorhanden","","Bitte begründen:")</f>
        <v>Bitte begründen:</v>
      </c>
      <c r="R64" s="17"/>
      <c r="S64" s="125" t="str">
        <f>IF($E$65="Nicht vorhanden","","(x) einfügen:")</f>
        <v>(x) einfügen:</v>
      </c>
      <c r="T64" s="53" t="str">
        <f>IF($E$65="Nicht vorhanden","","Bitte begründen:")</f>
        <v>Bitte begründen:</v>
      </c>
      <c r="U64" s="17"/>
      <c r="V64" s="125" t="str">
        <f>IF($E$65="Nicht vorhanden","","(x) einfügen:")</f>
        <v>(x) einfügen:</v>
      </c>
      <c r="W64" s="53" t="str">
        <f>IF($E$65="Nicht vorhanden","","Bitte begründen:")</f>
        <v>Bitte begründen:</v>
      </c>
      <c r="X64" s="17"/>
    </row>
    <row r="65" spans="3:25" ht="15" customHeight="1" x14ac:dyDescent="0.25">
      <c r="C65" s="28"/>
      <c r="D65" s="30"/>
      <c r="E65" s="298" t="str">
        <f>IF(COUNTIF('(1) Grundlagen'!$C$22,TRUE)&lt;1,"Nicht vorhanden","nein / ja, Schutzziele werden ungeschmälert erhalten")</f>
        <v>nein / ja, Schutzziele werden ungeschmälert erhalten</v>
      </c>
      <c r="F65" s="228"/>
      <c r="G65" s="28"/>
      <c r="H65" s="28"/>
      <c r="I65" s="28"/>
      <c r="J65" s="199" t="s">
        <v>178</v>
      </c>
      <c r="K65" s="318"/>
      <c r="L65" s="18"/>
      <c r="M65" s="199" t="s">
        <v>178</v>
      </c>
      <c r="N65" s="318"/>
      <c r="O65" s="18"/>
      <c r="P65" s="199" t="s">
        <v>178</v>
      </c>
      <c r="Q65" s="318"/>
      <c r="R65" s="20"/>
      <c r="S65" s="199"/>
      <c r="T65" s="318"/>
      <c r="U65" s="18"/>
      <c r="V65" s="199"/>
      <c r="W65" s="318"/>
      <c r="X65" s="18"/>
    </row>
    <row r="66" spans="3:25" ht="15" customHeight="1" x14ac:dyDescent="0.25">
      <c r="C66" s="36"/>
      <c r="D66" s="35"/>
      <c r="E66" s="265" t="str">
        <f>IF(COUNTIF('(1) Grundlagen'!$C$22,TRUE)&lt;1,"","ja, Schutzziele werden geringfügig beeinträchtigt")</f>
        <v>ja, Schutzziele werden geringfügig beeinträchtigt</v>
      </c>
      <c r="F66" s="265"/>
      <c r="G66" s="28"/>
      <c r="H66" s="28"/>
      <c r="I66" s="28"/>
      <c r="J66" s="99"/>
      <c r="K66" s="319"/>
      <c r="L66" s="18"/>
      <c r="M66" s="99"/>
      <c r="N66" s="319"/>
      <c r="O66" s="18"/>
      <c r="P66" s="99"/>
      <c r="Q66" s="319"/>
      <c r="R66" s="18"/>
      <c r="S66" s="99"/>
      <c r="T66" s="319"/>
      <c r="U66" s="18"/>
      <c r="V66" s="99"/>
      <c r="W66" s="319"/>
      <c r="X66" s="18"/>
    </row>
    <row r="67" spans="3:25" ht="15" customHeight="1" x14ac:dyDescent="0.25">
      <c r="C67" s="28"/>
      <c r="D67" s="32"/>
      <c r="E67" s="265" t="str">
        <f>IF(COUNTIF('(1) Grundlagen'!$C$22,TRUE)&lt;1,"","ja, Schutzziele werden massgeblich beeinträchtigt")</f>
        <v>ja, Schutzziele werden massgeblich beeinträchtigt</v>
      </c>
      <c r="F67" s="265"/>
      <c r="G67" s="28"/>
      <c r="H67" s="28"/>
      <c r="I67" s="28"/>
      <c r="J67" s="99"/>
      <c r="K67" s="320"/>
      <c r="L67" s="18"/>
      <c r="M67" s="99"/>
      <c r="N67" s="320"/>
      <c r="O67" s="18"/>
      <c r="P67" s="99"/>
      <c r="Q67" s="320"/>
      <c r="R67" s="18"/>
      <c r="S67" s="99"/>
      <c r="T67" s="320"/>
      <c r="U67" s="18"/>
      <c r="V67" s="99"/>
      <c r="W67" s="320"/>
      <c r="X67" s="18"/>
    </row>
    <row r="68" spans="3:25" ht="15" customHeight="1" x14ac:dyDescent="0.25">
      <c r="C68" s="28"/>
      <c r="D68" s="28"/>
      <c r="E68" s="28"/>
      <c r="F68" s="28"/>
      <c r="G68" s="28"/>
      <c r="H68" s="28"/>
      <c r="I68" s="28"/>
      <c r="J68" s="25" t="str">
        <f>IF($E$65="Nicht vorhanden","",IF(COUNTIF(J$65:J$67,"x")&lt;&gt;1,"FEHLER",IF(J$65="x","gut",IF(J$66="x","mässig","schlecht"))))</f>
        <v>gut</v>
      </c>
      <c r="K68" s="20"/>
      <c r="L68" s="18"/>
      <c r="M68" s="25" t="str">
        <f>IF($E$65="Nicht vorhanden","",IF(COUNTIF(M$65:M$67,"x")&lt;&gt;1,"FEHLER",IF(M$65="x","gut",IF(M$66="x","mässig","schlecht"))))</f>
        <v>gut</v>
      </c>
      <c r="N68" s="20"/>
      <c r="O68" s="18"/>
      <c r="P68" s="25" t="str">
        <f>IF($E$65="Nicht vorhanden","",IF(COUNTIF(P$65:P$67,"x")&lt;&gt;1,"FEHLER",IF(P$65="x","gut",IF(P$66="x","mässig","schlecht"))))</f>
        <v>gut</v>
      </c>
      <c r="Q68" s="20"/>
      <c r="R68" s="18"/>
      <c r="S68" s="25" t="str">
        <f>IF($E$65="Nicht vorhanden","",IF(COUNTIF(S$65:S$67,"x")&lt;&gt;1,"FEHLER",IF(S$65="x","gut",IF(S$66="x","mässig","schlecht"))))</f>
        <v>FEHLER</v>
      </c>
      <c r="T68" s="20"/>
      <c r="U68" s="18"/>
      <c r="V68" s="25" t="str">
        <f>IF($E$65="Nicht vorhanden","",IF(COUNTIF(V$65:V$67,"x")&lt;&gt;1,"FEHLER",IF(V$65="x","gut",IF(V$66="x","mässig","schlecht"))))</f>
        <v>FEHLER</v>
      </c>
      <c r="W68" s="20"/>
      <c r="X68" s="18"/>
      <c r="Y68" s="54"/>
    </row>
    <row r="69" spans="3:25" ht="15" customHeight="1" x14ac:dyDescent="0.25">
      <c r="C69" s="28"/>
      <c r="D69" s="28"/>
      <c r="E69" s="28"/>
      <c r="F69" s="28"/>
      <c r="G69" s="28"/>
      <c r="H69" s="28"/>
      <c r="I69" s="28"/>
      <c r="J69" s="20"/>
      <c r="K69" s="20"/>
      <c r="L69" s="18"/>
      <c r="M69" s="20"/>
      <c r="N69" s="20"/>
      <c r="O69" s="18"/>
      <c r="P69" s="20"/>
      <c r="Q69" s="20"/>
      <c r="R69" s="18"/>
      <c r="S69" s="20"/>
      <c r="T69" s="20"/>
      <c r="U69" s="18"/>
      <c r="V69" s="20"/>
      <c r="W69" s="20"/>
      <c r="X69" s="18"/>
      <c r="Y69" s="54"/>
    </row>
    <row r="70" spans="3:25" ht="15" customHeight="1" x14ac:dyDescent="0.25"/>
    <row r="71" spans="3:25" ht="15" customHeight="1" x14ac:dyDescent="0.25"/>
    <row r="72" spans="3:25" ht="15" customHeight="1" x14ac:dyDescent="0.25">
      <c r="C72" s="266" t="s">
        <v>380</v>
      </c>
      <c r="D72" s="266"/>
      <c r="E72" s="266"/>
      <c r="F72" s="266"/>
      <c r="G72" s="45"/>
      <c r="H72" s="45"/>
      <c r="I72" s="28"/>
      <c r="J72" s="18"/>
      <c r="K72" s="18"/>
      <c r="L72" s="18"/>
      <c r="M72" s="18"/>
      <c r="N72" s="18"/>
      <c r="O72" s="18"/>
      <c r="P72" s="18"/>
      <c r="Q72" s="18"/>
      <c r="R72" s="18"/>
      <c r="S72" s="18"/>
      <c r="T72" s="18"/>
      <c r="U72" s="18"/>
      <c r="V72" s="18"/>
      <c r="W72" s="18"/>
      <c r="X72" s="18"/>
    </row>
    <row r="73" spans="3:25" ht="15" customHeight="1" x14ac:dyDescent="0.25">
      <c r="C73" s="28"/>
      <c r="D73" s="321" t="s">
        <v>148</v>
      </c>
      <c r="E73" s="329"/>
      <c r="F73" s="329"/>
      <c r="G73" s="329"/>
      <c r="H73" s="182"/>
      <c r="I73" s="28"/>
      <c r="J73" s="39"/>
      <c r="K73" s="39"/>
      <c r="L73" s="39"/>
      <c r="M73" s="39"/>
      <c r="N73" s="39"/>
      <c r="O73" s="39"/>
      <c r="P73" s="39"/>
      <c r="Q73" s="39"/>
      <c r="R73" s="39"/>
      <c r="S73" s="39"/>
      <c r="T73" s="39"/>
      <c r="U73" s="39"/>
      <c r="V73" s="39"/>
      <c r="W73" s="39"/>
      <c r="X73" s="18"/>
    </row>
    <row r="74" spans="3:25" ht="15" customHeight="1" x14ac:dyDescent="0.25">
      <c r="C74" s="28"/>
      <c r="D74" s="329"/>
      <c r="E74" s="329"/>
      <c r="F74" s="329"/>
      <c r="G74" s="329"/>
      <c r="H74" s="182"/>
      <c r="I74" s="28"/>
      <c r="J74" s="316" t="str">
        <f>IF(ISBLANK('(3) Variantenbewertung'!$I$11),"",'(3) Variantenbewertung'!$I$11)</f>
        <v>V1</v>
      </c>
      <c r="K74" s="316"/>
      <c r="L74" s="18"/>
      <c r="M74" s="316" t="str">
        <f>IF(ISBLANK('(3) Variantenbewertung'!$L$11),"",'(3) Variantenbewertung'!$L$11)</f>
        <v>V2</v>
      </c>
      <c r="N74" s="316"/>
      <c r="O74" s="18"/>
      <c r="P74" s="316" t="str">
        <f>IF(ISBLANK('(3) Variantenbewertung'!$O$11),"",'(3) Variantenbewertung'!$O$11)</f>
        <v>V3</v>
      </c>
      <c r="Q74" s="316"/>
      <c r="R74" s="18"/>
      <c r="S74" s="316" t="str">
        <f>IF(ISBLANK('(3) Variantenbewertung'!$R$11),"",'(3) Variantenbewertung'!$R$11)</f>
        <v/>
      </c>
      <c r="T74" s="316"/>
      <c r="U74" s="18"/>
      <c r="V74" s="316" t="str">
        <f>IF(ISBLANK('(3) Variantenbewertung'!$U$11),"",'(3) Variantenbewertung'!$U$11)</f>
        <v/>
      </c>
      <c r="W74" s="316"/>
      <c r="X74" s="17"/>
    </row>
    <row r="75" spans="3:25" ht="15" customHeight="1" x14ac:dyDescent="0.25">
      <c r="C75" s="28"/>
      <c r="D75" s="28"/>
      <c r="E75" s="27"/>
      <c r="F75" s="27"/>
      <c r="G75" s="28"/>
      <c r="H75" s="28"/>
      <c r="I75" s="28"/>
      <c r="J75" s="125" t="str">
        <f>IF($E$76="Nicht vorhanden","","(x) einfügen:")</f>
        <v>(x) einfügen:</v>
      </c>
      <c r="K75" s="53" t="str">
        <f>IF($E$76="Nicht vorhanden","","Bitte begründen:")</f>
        <v>Bitte begründen:</v>
      </c>
      <c r="L75" s="17"/>
      <c r="M75" s="125" t="str">
        <f>IF($E$76="Nicht vorhanden","","(x) einfügen:")</f>
        <v>(x) einfügen:</v>
      </c>
      <c r="N75" s="53" t="str">
        <f>IF($E$76="Nicht vorhanden","","Bitte begründen:")</f>
        <v>Bitte begründen:</v>
      </c>
      <c r="O75" s="17"/>
      <c r="P75" s="125" t="str">
        <f>IF($E$76="Nicht vorhanden","","(x) einfügen:")</f>
        <v>(x) einfügen:</v>
      </c>
      <c r="Q75" s="53" t="str">
        <f>IF($E$76="Nicht vorhanden","","Bitte begründen:")</f>
        <v>Bitte begründen:</v>
      </c>
      <c r="R75" s="17"/>
      <c r="S75" s="125" t="str">
        <f>IF($E$76="Nicht vorhanden","","(x) einfügen:")</f>
        <v>(x) einfügen:</v>
      </c>
      <c r="T75" s="53" t="str">
        <f>IF($E$76="Nicht vorhanden","","Bitte begründen:")</f>
        <v>Bitte begründen:</v>
      </c>
      <c r="U75" s="17"/>
      <c r="V75" s="125" t="str">
        <f>IF($E$76="Nicht vorhanden","","(x) einfügen:")</f>
        <v>(x) einfügen:</v>
      </c>
      <c r="W75" s="53" t="str">
        <f>IF($E$76="Nicht vorhanden","","Bitte begründen:")</f>
        <v>Bitte begründen:</v>
      </c>
      <c r="X75" s="17"/>
    </row>
    <row r="76" spans="3:25" ht="15" customHeight="1" x14ac:dyDescent="0.25">
      <c r="C76" s="28"/>
      <c r="D76" s="30"/>
      <c r="E76" s="298" t="str">
        <f>IF(COUNTIF('(1) Grundlagen'!$C$25,TRUE)&lt;1,"Nicht vorhanden","nein / ja, Schutzziele werden ungeschmälert erhalten")</f>
        <v>nein / ja, Schutzziele werden ungeschmälert erhalten</v>
      </c>
      <c r="F76" s="228"/>
      <c r="G76" s="28"/>
      <c r="H76" s="28"/>
      <c r="I76" s="28"/>
      <c r="J76" s="199" t="s">
        <v>178</v>
      </c>
      <c r="K76" s="318"/>
      <c r="L76" s="18"/>
      <c r="M76" s="199" t="s">
        <v>178</v>
      </c>
      <c r="N76" s="318"/>
      <c r="O76" s="18"/>
      <c r="P76" s="199"/>
      <c r="Q76" s="318"/>
      <c r="R76" s="20"/>
      <c r="S76" s="199"/>
      <c r="T76" s="318"/>
      <c r="U76" s="18"/>
      <c r="V76" s="199"/>
      <c r="W76" s="318"/>
      <c r="X76" s="18"/>
    </row>
    <row r="77" spans="3:25" ht="15" customHeight="1" x14ac:dyDescent="0.25">
      <c r="C77" s="36"/>
      <c r="D77" s="35"/>
      <c r="E77" s="265" t="str">
        <f>IF(COUNTIF('(1) Grundlagen'!$C$25,TRUE)&lt;1,"","ja, Schutzziele werden geringfügig beeinträchtigt")</f>
        <v>ja, Schutzziele werden geringfügig beeinträchtigt</v>
      </c>
      <c r="F77" s="265"/>
      <c r="G77" s="28"/>
      <c r="H77" s="28"/>
      <c r="I77" s="28"/>
      <c r="J77" s="99"/>
      <c r="K77" s="319"/>
      <c r="L77" s="18"/>
      <c r="M77" s="99"/>
      <c r="N77" s="319"/>
      <c r="O77" s="18"/>
      <c r="P77" s="99" t="s">
        <v>178</v>
      </c>
      <c r="Q77" s="319"/>
      <c r="R77" s="18"/>
      <c r="S77" s="99"/>
      <c r="T77" s="319"/>
      <c r="U77" s="18"/>
      <c r="V77" s="99"/>
      <c r="W77" s="319"/>
      <c r="X77" s="18"/>
    </row>
    <row r="78" spans="3:25" ht="15" customHeight="1" x14ac:dyDescent="0.25">
      <c r="C78" s="28"/>
      <c r="D78" s="32"/>
      <c r="E78" s="265" t="str">
        <f>IF(COUNTIF('(1) Grundlagen'!$C$25,TRUE)&lt;1,"","ja, Schutzziele werden massgeblich beeinträchtigt")</f>
        <v>ja, Schutzziele werden massgeblich beeinträchtigt</v>
      </c>
      <c r="F78" s="265"/>
      <c r="G78" s="28"/>
      <c r="H78" s="28"/>
      <c r="I78" s="28"/>
      <c r="J78" s="99"/>
      <c r="K78" s="320"/>
      <c r="L78" s="18"/>
      <c r="M78" s="99"/>
      <c r="N78" s="320"/>
      <c r="O78" s="18"/>
      <c r="P78" s="99"/>
      <c r="Q78" s="320"/>
      <c r="R78" s="18"/>
      <c r="S78" s="99"/>
      <c r="T78" s="320"/>
      <c r="U78" s="18"/>
      <c r="V78" s="99"/>
      <c r="W78" s="320"/>
      <c r="X78" s="18"/>
    </row>
    <row r="79" spans="3:25" ht="15" customHeight="1" x14ac:dyDescent="0.25">
      <c r="C79" s="28"/>
      <c r="D79" s="28"/>
      <c r="E79" s="28"/>
      <c r="F79" s="28"/>
      <c r="G79" s="28"/>
      <c r="H79" s="28"/>
      <c r="I79" s="28"/>
      <c r="J79" s="25" t="str">
        <f>IF($E$76="Nicht vorhanden","",IF(COUNTIF(J$76:J$78,"x")&lt;&gt;1,"FEHLER",IF(J$76="x","gut",IF(J$77="x","mässig","schlecht"))))</f>
        <v>gut</v>
      </c>
      <c r="K79" s="20"/>
      <c r="L79" s="18"/>
      <c r="M79" s="25" t="str">
        <f>IF($E$76="Nicht vorhanden","",IF(COUNTIF(M$76:M$78,"x")&lt;&gt;1,"FEHLER",IF(M$76="x","gut",IF(M$77="x","mässig","schlecht"))))</f>
        <v>gut</v>
      </c>
      <c r="N79" s="20"/>
      <c r="O79" s="18"/>
      <c r="P79" s="25" t="str">
        <f>IF($E$76="Nicht vorhanden","",IF(COUNTIF(P$76:P$78,"x")&lt;&gt;1,"FEHLER",IF(P$76="x","gut",IF(P$77="x","mässig","schlecht"))))</f>
        <v>mässig</v>
      </c>
      <c r="Q79" s="20"/>
      <c r="R79" s="18"/>
      <c r="S79" s="25" t="str">
        <f>IF($E$76="Nicht vorhanden","",IF(COUNTIF(S$76:S$78,"x")&lt;&gt;1,"FEHLER",IF(S$76="x","gut",IF(S$77="x","mässig","schlecht"))))</f>
        <v>FEHLER</v>
      </c>
      <c r="T79" s="20"/>
      <c r="U79" s="18"/>
      <c r="V79" s="25" t="str">
        <f>IF($E$76="Nicht vorhanden","",IF(COUNTIF(V$76:V$78,"x")&lt;&gt;1,"FEHLER",IF(V$76="x","gut",IF(V$77="x","mässig","schlecht"))))</f>
        <v>FEHLER</v>
      </c>
      <c r="W79" s="20"/>
      <c r="X79" s="18"/>
    </row>
    <row r="80" spans="3:25" ht="15" customHeight="1" x14ac:dyDescent="0.25">
      <c r="C80" s="28"/>
      <c r="D80" s="28"/>
      <c r="E80" s="28"/>
      <c r="F80" s="28"/>
      <c r="G80" s="28"/>
      <c r="H80" s="28"/>
      <c r="I80" s="28"/>
      <c r="J80" s="20"/>
      <c r="K80" s="20"/>
      <c r="L80" s="18"/>
      <c r="M80" s="20"/>
      <c r="N80" s="20"/>
      <c r="O80" s="18"/>
      <c r="P80" s="20"/>
      <c r="Q80" s="20"/>
      <c r="R80" s="18"/>
      <c r="S80" s="20"/>
      <c r="T80" s="20"/>
      <c r="U80" s="18"/>
      <c r="V80" s="20"/>
      <c r="W80" s="20"/>
      <c r="X80" s="18"/>
    </row>
    <row r="81" spans="3:27" ht="15" customHeight="1" x14ac:dyDescent="0.25"/>
    <row r="82" spans="3:27" ht="15" customHeight="1" x14ac:dyDescent="0.25"/>
    <row r="83" spans="3:27" ht="15" customHeight="1" x14ac:dyDescent="0.25">
      <c r="C83" s="266" t="s">
        <v>381</v>
      </c>
      <c r="D83" s="266"/>
      <c r="E83" s="266"/>
      <c r="F83" s="266"/>
      <c r="G83" s="45"/>
      <c r="H83" s="45"/>
      <c r="I83" s="28"/>
      <c r="J83" s="18"/>
      <c r="K83" s="18"/>
      <c r="L83" s="18"/>
      <c r="M83" s="18"/>
      <c r="N83" s="18"/>
      <c r="O83" s="18"/>
      <c r="P83" s="18"/>
      <c r="Q83" s="18"/>
      <c r="R83" s="18"/>
      <c r="S83" s="18"/>
      <c r="T83" s="18"/>
      <c r="U83" s="18"/>
      <c r="V83" s="18"/>
      <c r="W83" s="18"/>
      <c r="X83" s="18"/>
    </row>
    <row r="84" spans="3:27" ht="15" customHeight="1" x14ac:dyDescent="0.25">
      <c r="C84" s="28"/>
      <c r="D84" s="321" t="s">
        <v>147</v>
      </c>
      <c r="E84" s="329"/>
      <c r="F84" s="329"/>
      <c r="G84" s="329"/>
      <c r="H84" s="182"/>
      <c r="I84" s="28"/>
      <c r="J84" s="39"/>
      <c r="K84" s="39"/>
      <c r="L84" s="39"/>
      <c r="M84" s="39"/>
      <c r="N84" s="39"/>
      <c r="O84" s="39"/>
      <c r="P84" s="39"/>
      <c r="Q84" s="39"/>
      <c r="R84" s="39"/>
      <c r="S84" s="39"/>
      <c r="T84" s="39"/>
      <c r="U84" s="39"/>
      <c r="V84" s="39"/>
      <c r="W84" s="39"/>
      <c r="X84" s="18"/>
    </row>
    <row r="85" spans="3:27" ht="15" customHeight="1" x14ac:dyDescent="0.25">
      <c r="C85" s="28"/>
      <c r="D85" s="329"/>
      <c r="E85" s="329"/>
      <c r="F85" s="329"/>
      <c r="G85" s="329"/>
      <c r="H85" s="182"/>
      <c r="I85" s="28"/>
      <c r="J85" s="316" t="str">
        <f>IF(ISBLANK('(3) Variantenbewertung'!$I$11),"",'(3) Variantenbewertung'!$I$11)</f>
        <v>V1</v>
      </c>
      <c r="K85" s="316"/>
      <c r="L85" s="18"/>
      <c r="M85" s="316" t="str">
        <f>IF(ISBLANK('(3) Variantenbewertung'!$L$11),"",'(3) Variantenbewertung'!$L$11)</f>
        <v>V2</v>
      </c>
      <c r="N85" s="316"/>
      <c r="O85" s="18"/>
      <c r="P85" s="316" t="str">
        <f>IF(ISBLANK('(3) Variantenbewertung'!$O$11),"",'(3) Variantenbewertung'!$O$11)</f>
        <v>V3</v>
      </c>
      <c r="Q85" s="316"/>
      <c r="R85" s="18"/>
      <c r="S85" s="316" t="str">
        <f>IF(ISBLANK('(3) Variantenbewertung'!$R$11),"",'(3) Variantenbewertung'!$R$11)</f>
        <v/>
      </c>
      <c r="T85" s="316"/>
      <c r="U85" s="18"/>
      <c r="V85" s="316" t="str">
        <f>IF(ISBLANK('(3) Variantenbewertung'!$U$11),"",'(3) Variantenbewertung'!$U$11)</f>
        <v/>
      </c>
      <c r="W85" s="316"/>
      <c r="X85" s="17"/>
    </row>
    <row r="86" spans="3:27" ht="15" customHeight="1" x14ac:dyDescent="0.25">
      <c r="C86" s="28"/>
      <c r="D86" s="28"/>
      <c r="E86" s="27"/>
      <c r="F86" s="27"/>
      <c r="G86" s="28"/>
      <c r="H86" s="28"/>
      <c r="I86" s="28"/>
      <c r="J86" s="125" t="str">
        <f>IF($E$87="Nicht vorhanden","","(x) einfügen:")</f>
        <v>(x) einfügen:</v>
      </c>
      <c r="K86" s="53" t="str">
        <f>IF($E$87="Nicht vorhanden","","Bitte begründen:")</f>
        <v>Bitte begründen:</v>
      </c>
      <c r="L86" s="17"/>
      <c r="M86" s="125" t="str">
        <f>IF($E$87="Nicht vorhanden","","(x) einfügen:")</f>
        <v>(x) einfügen:</v>
      </c>
      <c r="N86" s="53" t="str">
        <f>IF($E$87="Nicht vorhanden","","Bitte begründen:")</f>
        <v>Bitte begründen:</v>
      </c>
      <c r="O86" s="17"/>
      <c r="P86" s="125" t="str">
        <f>IF($E$87="Nicht vorhanden","","(x) einfügen:")</f>
        <v>(x) einfügen:</v>
      </c>
      <c r="Q86" s="53" t="str">
        <f>IF($E$87="Nicht vorhanden","","Bitte begründen:")</f>
        <v>Bitte begründen:</v>
      </c>
      <c r="R86" s="17"/>
      <c r="S86" s="125" t="str">
        <f>IF($E$87="Nicht vorhanden","","(x) einfügen:")</f>
        <v>(x) einfügen:</v>
      </c>
      <c r="T86" s="53" t="str">
        <f>IF($E$87="Nicht vorhanden","","Bitte begründen:")</f>
        <v>Bitte begründen:</v>
      </c>
      <c r="U86" s="17"/>
      <c r="V86" s="125" t="str">
        <f>IF($E$87="Nicht vorhanden","","(x) einfügen:")</f>
        <v>(x) einfügen:</v>
      </c>
      <c r="W86" s="53" t="str">
        <f>IF($E$87="Nicht vorhanden","","Bitte begründen:")</f>
        <v>Bitte begründen:</v>
      </c>
      <c r="X86" s="17"/>
    </row>
    <row r="87" spans="3:27" ht="15" customHeight="1" x14ac:dyDescent="0.25">
      <c r="C87" s="28"/>
      <c r="D87" s="30"/>
      <c r="E87" s="298" t="str">
        <f>IF(COUNTIF('(1) Grundlagen'!$C$28,TRUE)&lt;1,"Nicht vorhanden","nein / ja, Schutzziele werden ungeschmälert erhalten")</f>
        <v>nein / ja, Schutzziele werden ungeschmälert erhalten</v>
      </c>
      <c r="F87" s="228"/>
      <c r="G87" s="28"/>
      <c r="H87" s="28"/>
      <c r="I87" s="28"/>
      <c r="J87" s="199" t="s">
        <v>178</v>
      </c>
      <c r="K87" s="318"/>
      <c r="L87" s="18"/>
      <c r="M87" s="199"/>
      <c r="N87" s="318"/>
      <c r="O87" s="18"/>
      <c r="P87" s="199" t="s">
        <v>178</v>
      </c>
      <c r="Q87" s="318"/>
      <c r="R87" s="20"/>
      <c r="S87" s="199"/>
      <c r="T87" s="318"/>
      <c r="U87" s="18"/>
      <c r="V87" s="199"/>
      <c r="W87" s="318"/>
      <c r="X87" s="18"/>
    </row>
    <row r="88" spans="3:27" ht="15" customHeight="1" x14ac:dyDescent="0.25">
      <c r="C88" s="36"/>
      <c r="D88" s="35"/>
      <c r="E88" s="265" t="str">
        <f>IF(COUNTIF('(1) Grundlagen'!$C$28,TRUE)&lt;1,"","ja, Schutzziele werden geringfügig beeinträchtigt")</f>
        <v>ja, Schutzziele werden geringfügig beeinträchtigt</v>
      </c>
      <c r="F88" s="265"/>
      <c r="G88" s="28"/>
      <c r="H88" s="28"/>
      <c r="I88" s="28"/>
      <c r="J88" s="99"/>
      <c r="K88" s="319"/>
      <c r="L88" s="18"/>
      <c r="M88" s="99" t="s">
        <v>178</v>
      </c>
      <c r="N88" s="319"/>
      <c r="O88" s="18"/>
      <c r="P88" s="99"/>
      <c r="Q88" s="319"/>
      <c r="R88" s="18"/>
      <c r="S88" s="99"/>
      <c r="T88" s="319"/>
      <c r="U88" s="18"/>
      <c r="V88" s="99"/>
      <c r="W88" s="319"/>
      <c r="X88" s="18"/>
    </row>
    <row r="89" spans="3:27" ht="15" customHeight="1" x14ac:dyDescent="0.25">
      <c r="C89" s="28"/>
      <c r="D89" s="32"/>
      <c r="E89" s="265" t="str">
        <f>IF(COUNTIF('(1) Grundlagen'!$C$28,TRUE)&lt;1,"","ja, Schutzziele werden massgeblich beeinträchtigt")</f>
        <v>ja, Schutzziele werden massgeblich beeinträchtigt</v>
      </c>
      <c r="F89" s="265"/>
      <c r="G89" s="28"/>
      <c r="H89" s="28"/>
      <c r="I89" s="28"/>
      <c r="J89" s="99"/>
      <c r="K89" s="320"/>
      <c r="L89" s="18"/>
      <c r="M89" s="99"/>
      <c r="N89" s="320"/>
      <c r="O89" s="18"/>
      <c r="P89" s="99"/>
      <c r="Q89" s="320"/>
      <c r="R89" s="18"/>
      <c r="S89" s="99"/>
      <c r="T89" s="320"/>
      <c r="U89" s="18"/>
      <c r="V89" s="99"/>
      <c r="W89" s="320"/>
      <c r="X89" s="18"/>
    </row>
    <row r="90" spans="3:27" ht="15" customHeight="1" x14ac:dyDescent="0.25">
      <c r="C90" s="28"/>
      <c r="D90" s="28"/>
      <c r="E90" s="28"/>
      <c r="F90" s="28"/>
      <c r="G90" s="28"/>
      <c r="H90" s="28"/>
      <c r="I90" s="28"/>
      <c r="J90" s="25" t="str">
        <f>IF($E$87="Nicht vorhanden","",IF(COUNTIF(J$87:J$89,"x")&lt;&gt;1,"FEHLER",IF(J$87="x","gut",IF(J$88="x","mässig","schlecht"))))</f>
        <v>gut</v>
      </c>
      <c r="K90" s="20"/>
      <c r="L90" s="18"/>
      <c r="M90" s="25" t="str">
        <f>IF($E$87="Nicht vorhanden","",IF(COUNTIF(M$87:M$89,"x")&lt;&gt;1,"FEHLER",IF(M$87="x","gut",IF(M$88="x","mässig","schlecht"))))</f>
        <v>mässig</v>
      </c>
      <c r="N90" s="20"/>
      <c r="O90" s="18"/>
      <c r="P90" s="25" t="str">
        <f>IF($E$87="Nicht vorhanden","",IF(COUNTIF(P$87:P$89,"x")&lt;&gt;1,"FEHLER",IF(P$87="x","gut",IF(P$88="x","mässig","schlecht"))))</f>
        <v>gut</v>
      </c>
      <c r="Q90" s="20"/>
      <c r="R90" s="18"/>
      <c r="S90" s="25" t="str">
        <f>IF($E$87="Nicht vorhanden","",IF(COUNTIF(S$87:S$89,"x")&lt;&gt;1,"FEHLER",IF(S$87="x","gut",IF(S$88="x","mässig","schlecht"))))</f>
        <v>FEHLER</v>
      </c>
      <c r="T90" s="20"/>
      <c r="U90" s="18"/>
      <c r="V90" s="25" t="str">
        <f>IF($E$87="Nicht vorhanden","",IF(COUNTIF(V$87:V$89,"x")&lt;&gt;1,"FEHLER",IF(V$87="x","gut",IF(V$88="x","mässig","schlecht"))))</f>
        <v>FEHLER</v>
      </c>
      <c r="W90" s="20"/>
      <c r="X90" s="18"/>
    </row>
    <row r="91" spans="3:27" ht="15" customHeight="1" x14ac:dyDescent="0.25">
      <c r="C91" s="28"/>
      <c r="D91" s="28"/>
      <c r="E91" s="28"/>
      <c r="F91" s="28"/>
      <c r="G91" s="28"/>
      <c r="H91" s="28"/>
      <c r="I91" s="28"/>
      <c r="J91" s="20"/>
      <c r="K91" s="20"/>
      <c r="L91" s="18"/>
      <c r="M91" s="20"/>
      <c r="N91" s="20"/>
      <c r="O91" s="18"/>
      <c r="P91" s="20"/>
      <c r="Q91" s="20"/>
      <c r="R91" s="18"/>
      <c r="S91" s="20"/>
      <c r="T91" s="20"/>
      <c r="U91" s="18"/>
      <c r="V91" s="20"/>
      <c r="W91" s="20"/>
      <c r="X91" s="18"/>
    </row>
    <row r="92" spans="3:27" ht="15" customHeight="1" x14ac:dyDescent="0.25"/>
    <row r="93" spans="3:27" ht="15" customHeight="1" x14ac:dyDescent="0.25"/>
    <row r="94" spans="3:27" ht="15" customHeight="1" x14ac:dyDescent="0.25"/>
    <row r="95" spans="3:27" s="5" customFormat="1" ht="15" customHeight="1" x14ac:dyDescent="0.25">
      <c r="F95" s="29"/>
      <c r="G95" s="29"/>
      <c r="H95" s="29"/>
      <c r="I95" s="29"/>
      <c r="J95" s="29"/>
      <c r="K95" s="29"/>
      <c r="L95" s="29"/>
      <c r="M95" s="29"/>
      <c r="N95" s="29"/>
      <c r="O95" s="29"/>
      <c r="P95" s="29"/>
      <c r="Q95" s="29"/>
      <c r="R95" s="29"/>
      <c r="S95" s="29"/>
      <c r="T95" s="29"/>
      <c r="U95" s="29"/>
      <c r="V95" s="29"/>
      <c r="W95" s="34"/>
      <c r="X95" s="34"/>
      <c r="AA95" s="7"/>
    </row>
    <row r="96" spans="3:27" s="5" customFormat="1" ht="15" customHeight="1" x14ac:dyDescent="0.25">
      <c r="F96" s="29"/>
      <c r="G96" s="29"/>
      <c r="H96" s="29"/>
      <c r="I96" s="29"/>
      <c r="J96" s="349" t="str">
        <f>IF(ISBLANK('(3) Variantenbewertung'!$I$11),"",'(3) Variantenbewertung'!$I$11)</f>
        <v>V1</v>
      </c>
      <c r="K96" s="349"/>
      <c r="L96" s="34"/>
      <c r="M96" s="349" t="str">
        <f>IF(ISBLANK('(3) Variantenbewertung'!$L$11),"",'(3) Variantenbewertung'!$L$11)</f>
        <v>V2</v>
      </c>
      <c r="N96" s="349"/>
      <c r="O96" s="34"/>
      <c r="P96" s="349" t="str">
        <f>IF(ISBLANK('(3) Variantenbewertung'!$O$11),"",'(3) Variantenbewertung'!$O$11)</f>
        <v>V3</v>
      </c>
      <c r="Q96" s="349"/>
      <c r="R96" s="34"/>
      <c r="S96" s="349" t="str">
        <f>IF(ISBLANK('(3) Variantenbewertung'!$R$11),"",'(3) Variantenbewertung'!$R$11)</f>
        <v/>
      </c>
      <c r="T96" s="349"/>
      <c r="U96" s="34"/>
      <c r="V96" s="349" t="str">
        <f>IF(ISBLANK('(3) Variantenbewertung'!$U$11),"",'(3) Variantenbewertung'!$U$11)</f>
        <v/>
      </c>
      <c r="W96" s="349"/>
      <c r="X96" s="24"/>
      <c r="AA96" s="7"/>
    </row>
    <row r="97" spans="2:27" s="5" customFormat="1" ht="15" customHeight="1" x14ac:dyDescent="0.25">
      <c r="F97" s="328" t="s">
        <v>382</v>
      </c>
      <c r="G97" s="328"/>
      <c r="H97" s="21"/>
      <c r="I97" s="29"/>
      <c r="J97" s="350" t="str">
        <f>IF(NOT(OR(COUNTIF(J31:J92,"FEHLER")&gt;=1,COUNTIF(J31:J92,"WERT?")&gt;=1)),IF(COUNTIF(J31:J92,"schlecht")&gt;=1,"schlecht",IF(COUNTIF(J31:J92,"mässig")&gt;=1,"mässig",IF(COUNTIF(J31:J92,"gut")&gt;=1,"gut","FEHLER"))),"FEHLER")</f>
        <v>gut</v>
      </c>
      <c r="K97" s="350"/>
      <c r="L97" s="34"/>
      <c r="M97" s="350" t="str">
        <f>IF(NOT(OR(COUNTIF(M31:M92,"FEHLER")&gt;=1,COUNTIF(M31:M92,"WERT?")&gt;=1)),IF(COUNTIF(M31:M92,"schlecht")&gt;=1,"schlecht",IF(COUNTIF(M31:M92,"mässig")&gt;=1,"mässig",IF(COUNTIF(M31:M92,"gut")&gt;=1,"gut","FEHLER"))),"FEHLER")</f>
        <v>mässig</v>
      </c>
      <c r="N97" s="350"/>
      <c r="O97" s="34"/>
      <c r="P97" s="350" t="str">
        <f>IF(NOT(OR(COUNTIF(P31:P92,"FEHLER")&gt;=1,COUNTIF(P31:P92,"WERT?")&gt;=1)),IF(COUNTIF(P31:P92,"schlecht")&gt;=1,"schlecht",IF(COUNTIF(P31:P92,"mässig")&gt;=1,"mässig",IF(COUNTIF(P31:P92,"gut")&gt;=1,"gut","FEHLER"))),"FEHLER")</f>
        <v>mässig</v>
      </c>
      <c r="Q97" s="350"/>
      <c r="R97" s="34"/>
      <c r="S97" s="350" t="str">
        <f>IF(NOT(OR(COUNTIF(S31:S92,"FEHLER")&gt;=1,COUNTIF(S31:S92,"WERT?")&gt;=1)),IF(COUNTIF(S31:S92,"schlecht")&gt;=1,"schlecht",IF(COUNTIF(S31:S92,"mässig")&gt;=1,"mässig",IF(COUNTIF(S31:S92,"gut")&gt;=1,"gut","FEHLER"))),"FEHLER")</f>
        <v>FEHLER</v>
      </c>
      <c r="T97" s="350"/>
      <c r="U97" s="34"/>
      <c r="V97" s="350" t="str">
        <f>IF(NOT(OR(COUNTIF(V31:V92,"FEHLER")&gt;=1,COUNTIF(V31:V92,"WERT?")&gt;=1)),IF(COUNTIF(V31:V92,"schlecht")&gt;=1,"schlecht",IF(COUNTIF(V31:V92,"mässig")&gt;=1,"mässig",IF(COUNTIF(V31:V92,"gut")&gt;=1,"gut","FEHLER"))),"FEHLER")</f>
        <v>FEHLER</v>
      </c>
      <c r="W97" s="350"/>
      <c r="X97" s="34"/>
      <c r="AA97" s="7"/>
    </row>
    <row r="98" spans="2:27" s="5" customFormat="1" ht="15" customHeight="1" x14ac:dyDescent="0.25">
      <c r="F98" s="327" t="s">
        <v>40</v>
      </c>
      <c r="G98" s="327"/>
      <c r="H98" s="183"/>
      <c r="I98" s="29"/>
      <c r="J98" s="350">
        <f>IF(OR(J97="FEHLER",J97="Nicht vorhanden"),"-",IF(J97="gut",3,IF(J97="mässig",2,1)))</f>
        <v>3</v>
      </c>
      <c r="K98" s="350"/>
      <c r="L98" s="34"/>
      <c r="M98" s="350">
        <f>IF(OR(M97="FEHLER",M97="Nicht vorhanden"),"-",IF(M97="gut",3,IF(M97="mässig",2,1)))</f>
        <v>2</v>
      </c>
      <c r="N98" s="350"/>
      <c r="O98" s="34"/>
      <c r="P98" s="350">
        <f>IF(OR(P97="FEHLER",P97="Nicht vorhanden"),"-",IF(P97="gut",3,IF(P97="mässig",2,1)))</f>
        <v>2</v>
      </c>
      <c r="Q98" s="350"/>
      <c r="R98" s="34"/>
      <c r="S98" s="350" t="str">
        <f>IF(OR(S97="FEHLER",S97="Nicht vorhanden"),"-",IF(S97="gut",3,IF(S97="mässig",2,1)))</f>
        <v>-</v>
      </c>
      <c r="T98" s="350"/>
      <c r="U98" s="34"/>
      <c r="V98" s="350" t="str">
        <f>IF(OR(V97="FEHLER",V97="Nicht vorhanden"),"-",IF(V97="gut",3,IF(V97="mässig",2,1)))</f>
        <v>-</v>
      </c>
      <c r="W98" s="350"/>
      <c r="X98" s="34"/>
      <c r="AA98" s="7"/>
    </row>
    <row r="99" spans="2:27" s="5" customFormat="1" ht="15" customHeight="1" x14ac:dyDescent="0.25">
      <c r="F99" s="29"/>
      <c r="G99" s="29"/>
      <c r="H99" s="29"/>
      <c r="I99" s="29"/>
      <c r="J99" s="29"/>
      <c r="K99" s="29"/>
      <c r="L99" s="29"/>
      <c r="M99" s="29"/>
      <c r="N99" s="29"/>
      <c r="O99" s="29"/>
      <c r="P99" s="29"/>
      <c r="Q99" s="29"/>
      <c r="R99" s="29"/>
      <c r="S99" s="29"/>
      <c r="T99" s="29"/>
      <c r="U99" s="29"/>
      <c r="V99" s="29"/>
      <c r="W99" s="34"/>
      <c r="X99" s="34"/>
      <c r="AA99" s="7"/>
    </row>
    <row r="100" spans="2:27" ht="15" customHeight="1" x14ac:dyDescent="0.25"/>
    <row r="101" spans="2:27" ht="15" customHeight="1" x14ac:dyDescent="0.25"/>
    <row r="102" spans="2:27" ht="15" customHeight="1" x14ac:dyDescent="0.25"/>
    <row r="103" spans="2:27" ht="15" customHeight="1" x14ac:dyDescent="0.25">
      <c r="B103" s="323" t="s">
        <v>383</v>
      </c>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row>
    <row r="104" spans="2:27" ht="15" customHeight="1" x14ac:dyDescent="0.25">
      <c r="B104" s="5"/>
      <c r="C104" s="5"/>
      <c r="D104" s="5"/>
      <c r="E104" s="5"/>
      <c r="F104" s="5"/>
      <c r="G104" s="5"/>
      <c r="H104" s="5"/>
      <c r="I104" s="5"/>
      <c r="J104" s="1"/>
      <c r="K104" s="1"/>
      <c r="L104" s="1"/>
      <c r="M104" s="1"/>
      <c r="N104" s="1"/>
      <c r="O104" s="1"/>
      <c r="P104" s="1"/>
      <c r="Q104" s="1"/>
      <c r="R104" s="1"/>
      <c r="S104" s="1"/>
      <c r="T104" s="1"/>
      <c r="U104" s="1"/>
      <c r="V104" s="1"/>
      <c r="W104" s="1"/>
      <c r="X104" s="1"/>
    </row>
    <row r="105" spans="2:27" ht="15" customHeight="1" x14ac:dyDescent="0.25">
      <c r="B105" s="5"/>
      <c r="C105" s="5"/>
      <c r="D105" s="5"/>
      <c r="E105" s="5"/>
      <c r="F105" s="5"/>
      <c r="G105" s="5"/>
      <c r="H105" s="5"/>
      <c r="I105" s="5"/>
      <c r="J105" s="1"/>
      <c r="K105" s="1"/>
      <c r="L105" s="1"/>
      <c r="M105" s="1"/>
      <c r="N105" s="1"/>
      <c r="O105" s="1"/>
      <c r="P105" s="1"/>
      <c r="Q105" s="1"/>
      <c r="R105" s="1"/>
      <c r="S105" s="1"/>
      <c r="T105" s="1"/>
      <c r="U105" s="1"/>
      <c r="V105" s="1"/>
      <c r="W105" s="1"/>
      <c r="X105" s="1"/>
    </row>
    <row r="106" spans="2:27" ht="15" customHeight="1" x14ac:dyDescent="0.25">
      <c r="B106" s="5"/>
      <c r="C106" s="266" t="s">
        <v>384</v>
      </c>
      <c r="D106" s="266"/>
      <c r="E106" s="266"/>
      <c r="F106" s="266"/>
      <c r="G106" s="45"/>
      <c r="H106" s="45"/>
      <c r="I106" s="28"/>
      <c r="J106" s="18"/>
      <c r="K106" s="18"/>
      <c r="L106" s="18"/>
      <c r="M106" s="18"/>
      <c r="N106" s="18"/>
      <c r="O106" s="18"/>
      <c r="P106" s="18"/>
      <c r="Q106" s="18"/>
      <c r="R106" s="18"/>
      <c r="S106" s="18"/>
      <c r="T106" s="18"/>
      <c r="U106" s="18"/>
      <c r="V106" s="18"/>
      <c r="W106" s="18"/>
      <c r="X106" s="18"/>
    </row>
    <row r="107" spans="2:27" ht="15" customHeight="1" x14ac:dyDescent="0.25">
      <c r="B107" s="5"/>
      <c r="C107" s="28"/>
      <c r="D107" s="321" t="s">
        <v>298</v>
      </c>
      <c r="E107" s="329"/>
      <c r="F107" s="329"/>
      <c r="G107" s="329"/>
      <c r="H107" s="182"/>
      <c r="I107" s="28"/>
      <c r="J107" s="18"/>
      <c r="K107" s="18"/>
      <c r="L107" s="18"/>
      <c r="M107" s="18"/>
      <c r="N107" s="18"/>
      <c r="O107" s="18"/>
      <c r="P107" s="55"/>
      <c r="Q107" s="55"/>
      <c r="R107" s="18"/>
      <c r="S107" s="18"/>
      <c r="T107" s="18"/>
      <c r="U107" s="18"/>
      <c r="V107" s="18"/>
      <c r="W107" s="18"/>
      <c r="X107" s="18"/>
    </row>
    <row r="108" spans="2:27" ht="15" customHeight="1" x14ac:dyDescent="0.25">
      <c r="B108" s="5"/>
      <c r="C108" s="28"/>
      <c r="D108" s="329"/>
      <c r="E108" s="329"/>
      <c r="F108" s="329"/>
      <c r="G108" s="329"/>
      <c r="H108" s="182"/>
      <c r="I108" s="28"/>
      <c r="J108" s="316" t="str">
        <f>IF(ISBLANK('(3) Variantenbewertung'!$I$11),"",'(3) Variantenbewertung'!$I$11)</f>
        <v>V1</v>
      </c>
      <c r="K108" s="316"/>
      <c r="L108" s="18"/>
      <c r="M108" s="316" t="str">
        <f>IF(ISBLANK('(3) Variantenbewertung'!$L$11),"",'(3) Variantenbewertung'!$L$11)</f>
        <v>V2</v>
      </c>
      <c r="N108" s="316"/>
      <c r="O108" s="18"/>
      <c r="P108" s="316" t="str">
        <f>IF(ISBLANK('(3) Variantenbewertung'!$O$11),"",'(3) Variantenbewertung'!$O$11)</f>
        <v>V3</v>
      </c>
      <c r="Q108" s="316"/>
      <c r="R108" s="18"/>
      <c r="S108" s="316" t="str">
        <f>IF(ISBLANK('(3) Variantenbewertung'!$R$11),"",'(3) Variantenbewertung'!$R$11)</f>
        <v/>
      </c>
      <c r="T108" s="316"/>
      <c r="U108" s="18"/>
      <c r="V108" s="316" t="str">
        <f>IF(ISBLANK('(3) Variantenbewertung'!$U$11),"",'(3) Variantenbewertung'!$U$11)</f>
        <v/>
      </c>
      <c r="W108" s="316"/>
      <c r="X108" s="17"/>
    </row>
    <row r="109" spans="2:27" ht="15" customHeight="1" x14ac:dyDescent="0.25">
      <c r="B109" s="5"/>
      <c r="C109" s="28"/>
      <c r="D109" s="28"/>
      <c r="E109" s="27"/>
      <c r="F109" s="27"/>
      <c r="G109" s="28"/>
      <c r="H109" s="28"/>
      <c r="I109" s="28"/>
      <c r="J109" s="125" t="s">
        <v>66</v>
      </c>
      <c r="K109" s="53" t="str">
        <f>IF($E$110="Nicht vorhanden","","Bitte begründen:")</f>
        <v>Bitte begründen:</v>
      </c>
      <c r="L109" s="17"/>
      <c r="M109" s="125" t="s">
        <v>66</v>
      </c>
      <c r="N109" s="53" t="str">
        <f>IF($E$110="Nicht vorhanden","","Bitte begründen:")</f>
        <v>Bitte begründen:</v>
      </c>
      <c r="O109" s="17"/>
      <c r="P109" s="125" t="s">
        <v>66</v>
      </c>
      <c r="Q109" s="53" t="str">
        <f>IF($E$110="Nicht vorhanden","","Bitte begründen:")</f>
        <v>Bitte begründen:</v>
      </c>
      <c r="R109" s="17"/>
      <c r="S109" s="125" t="s">
        <v>66</v>
      </c>
      <c r="T109" s="53" t="str">
        <f>IF($E$110="Nicht vorhanden","","Bitte begründen:")</f>
        <v>Bitte begründen:</v>
      </c>
      <c r="U109" s="17"/>
      <c r="V109" s="125" t="s">
        <v>66</v>
      </c>
      <c r="W109" s="53" t="str">
        <f>IF($E$110="Nicht vorhanden","","Bitte begründen:")</f>
        <v>Bitte begründen:</v>
      </c>
      <c r="X109" s="17"/>
    </row>
    <row r="110" spans="2:27" ht="15" customHeight="1" x14ac:dyDescent="0.25">
      <c r="B110" s="5"/>
      <c r="C110" s="28"/>
      <c r="D110" s="30"/>
      <c r="E110" s="298" t="str">
        <f>IF(COUNTIF('(1) Grundlagen'!$C$34,TRUE)&lt;1,"Nicht vorhanden","nein / ja, &lt; 30 m"&amp;CHAR(178))</f>
        <v>nein / ja, &lt; 30 m²</v>
      </c>
      <c r="F110" s="228"/>
      <c r="G110" s="28"/>
      <c r="H110" s="28"/>
      <c r="I110" s="28"/>
      <c r="J110" s="199" t="s">
        <v>178</v>
      </c>
      <c r="K110" s="318"/>
      <c r="L110" s="18"/>
      <c r="M110" s="199" t="s">
        <v>178</v>
      </c>
      <c r="N110" s="318"/>
      <c r="O110" s="18"/>
      <c r="P110" s="199" t="s">
        <v>178</v>
      </c>
      <c r="Q110" s="318"/>
      <c r="R110" s="20"/>
      <c r="S110" s="199"/>
      <c r="T110" s="318"/>
      <c r="U110" s="18"/>
      <c r="V110" s="199"/>
      <c r="W110" s="318"/>
      <c r="X110" s="18"/>
    </row>
    <row r="111" spans="2:27" ht="15" customHeight="1" x14ac:dyDescent="0.25">
      <c r="B111" s="5"/>
      <c r="C111" s="36"/>
      <c r="D111" s="35"/>
      <c r="E111" s="265" t="str">
        <f>IF(COUNTIF('(1) Grundlagen'!$C$34,TRUE)&lt;1,"","ja, Schutzziele/Waldfunktion werden geringfügig beeinträchtigt")</f>
        <v>ja, Schutzziele/Waldfunktion werden geringfügig beeinträchtigt</v>
      </c>
      <c r="F111" s="265"/>
      <c r="G111" s="28"/>
      <c r="H111" s="28"/>
      <c r="I111" s="28"/>
      <c r="J111" s="99"/>
      <c r="K111" s="319"/>
      <c r="L111" s="18"/>
      <c r="M111" s="99"/>
      <c r="N111" s="319"/>
      <c r="O111" s="18"/>
      <c r="P111" s="99"/>
      <c r="Q111" s="319"/>
      <c r="R111" s="18"/>
      <c r="S111" s="99"/>
      <c r="T111" s="319"/>
      <c r="U111" s="18"/>
      <c r="V111" s="99"/>
      <c r="W111" s="319"/>
      <c r="X111" s="18"/>
    </row>
    <row r="112" spans="2:27" ht="15" customHeight="1" x14ac:dyDescent="0.25">
      <c r="B112" s="5"/>
      <c r="C112" s="28"/>
      <c r="D112" s="32"/>
      <c r="E112" s="265" t="str">
        <f>IF(COUNTIF('(1) Grundlagen'!$C$34,TRUE)&lt;1,"","ja, Schutzziele/Waldfunktion werden massgeblich beeinträchtigt")</f>
        <v>ja, Schutzziele/Waldfunktion werden massgeblich beeinträchtigt</v>
      </c>
      <c r="F112" s="265"/>
      <c r="G112" s="28"/>
      <c r="H112" s="28"/>
      <c r="I112" s="28"/>
      <c r="J112" s="99"/>
      <c r="K112" s="320"/>
      <c r="L112" s="18"/>
      <c r="M112" s="99"/>
      <c r="N112" s="320"/>
      <c r="O112" s="18"/>
      <c r="P112" s="99"/>
      <c r="Q112" s="320"/>
      <c r="R112" s="18"/>
      <c r="S112" s="99"/>
      <c r="T112" s="320"/>
      <c r="U112" s="18"/>
      <c r="V112" s="99"/>
      <c r="W112" s="320"/>
      <c r="X112" s="18"/>
    </row>
    <row r="113" spans="2:24" ht="15" customHeight="1" x14ac:dyDescent="0.25">
      <c r="B113" s="5"/>
      <c r="C113" s="28"/>
      <c r="D113" s="28"/>
      <c r="E113" s="28"/>
      <c r="F113" s="28"/>
      <c r="G113" s="28"/>
      <c r="H113" s="28"/>
      <c r="I113" s="28"/>
      <c r="J113" s="25" t="str">
        <f>IF($E$110="Nicht vorhanden","",IF(COUNTIF(J$110:J$112,"x")&lt;&gt;1,"FEHLER",IF(J$110="x","gut",IF(J$111="x","mässig","schlecht"))))</f>
        <v>gut</v>
      </c>
      <c r="K113" s="165"/>
      <c r="L113" s="18"/>
      <c r="M113" s="25" t="str">
        <f>IF($E$110="Nicht vorhanden","",IF(COUNTIF(M$110:M$112,"x")&lt;&gt;1,"FEHLER",IF(M$110="x","gut",IF(M$111="x","mässig","schlecht"))))</f>
        <v>gut</v>
      </c>
      <c r="N113" s="165"/>
      <c r="O113" s="18"/>
      <c r="P113" s="25" t="str">
        <f>IF($E$110="Nicht vorhanden","",IF(COUNTIF(P$110:P$112,"x")&lt;&gt;1,"FEHLER",IF(P$110="x","gut",IF(P$111="x","mässig","schlecht"))))</f>
        <v>gut</v>
      </c>
      <c r="Q113" s="165"/>
      <c r="R113" s="18"/>
      <c r="S113" s="25" t="str">
        <f>IF($E$110="Nicht vorhanden","",IF(COUNTIF(S$110:S$112,"x")&lt;&gt;1,"FEHLER",IF(S$110="x","gut",IF(S$111="x","mässig","schlecht"))))</f>
        <v>FEHLER</v>
      </c>
      <c r="T113" s="165"/>
      <c r="U113" s="18"/>
      <c r="V113" s="25" t="str">
        <f>IF($E$110="Nicht vorhanden","",IF(COUNTIF(V$110:V$112,"x")&lt;&gt;1,"FEHLER",IF(V$110="x","gut",IF(V$111="x","mässig","schlecht"))))</f>
        <v>FEHLER</v>
      </c>
      <c r="W113" s="165"/>
      <c r="X113" s="18"/>
    </row>
    <row r="114" spans="2:24" ht="15" customHeight="1" x14ac:dyDescent="0.25">
      <c r="B114" s="5"/>
      <c r="C114" s="28"/>
      <c r="D114" s="28"/>
      <c r="E114" s="28"/>
      <c r="F114" s="28"/>
      <c r="G114" s="28"/>
      <c r="H114" s="28"/>
      <c r="I114" s="28"/>
      <c r="J114" s="20"/>
      <c r="K114" s="20"/>
      <c r="L114" s="18"/>
      <c r="M114" s="20"/>
      <c r="N114" s="20"/>
      <c r="O114" s="18"/>
      <c r="P114" s="20"/>
      <c r="Q114" s="20"/>
      <c r="R114" s="18"/>
      <c r="S114" s="20"/>
      <c r="T114" s="20"/>
      <c r="U114" s="18"/>
      <c r="V114" s="20"/>
      <c r="W114" s="20"/>
      <c r="X114" s="18"/>
    </row>
    <row r="115" spans="2:24" ht="15" customHeight="1" x14ac:dyDescent="0.25">
      <c r="B115" s="5"/>
      <c r="C115" s="5"/>
      <c r="D115" s="5"/>
      <c r="E115" s="280"/>
      <c r="F115" s="280"/>
      <c r="G115" s="6"/>
      <c r="H115" s="6"/>
      <c r="I115" s="6"/>
      <c r="J115" s="1"/>
      <c r="K115" s="1"/>
      <c r="L115" s="1"/>
      <c r="M115" s="1"/>
      <c r="N115" s="1"/>
      <c r="O115" s="1"/>
      <c r="P115" s="1"/>
      <c r="Q115" s="1"/>
      <c r="R115" s="1"/>
      <c r="S115" s="1"/>
      <c r="T115" s="1"/>
      <c r="U115" s="1"/>
      <c r="V115" s="1"/>
      <c r="W115" s="1"/>
      <c r="X115" s="1"/>
    </row>
    <row r="116" spans="2:24" ht="15" customHeight="1" x14ac:dyDescent="0.25">
      <c r="B116" s="5"/>
      <c r="C116" s="5"/>
      <c r="D116" s="5"/>
      <c r="E116" s="3"/>
      <c r="F116" s="3"/>
      <c r="G116" s="6"/>
      <c r="H116" s="6"/>
      <c r="I116" s="6"/>
      <c r="J116" s="1"/>
      <c r="K116" s="1"/>
      <c r="L116" s="1"/>
      <c r="M116" s="1"/>
      <c r="N116" s="1"/>
      <c r="O116" s="1"/>
      <c r="P116" s="1"/>
      <c r="Q116" s="1"/>
      <c r="R116" s="1"/>
      <c r="S116" s="1"/>
      <c r="T116" s="1"/>
      <c r="U116" s="1"/>
      <c r="V116" s="1"/>
      <c r="W116" s="1"/>
      <c r="X116" s="1"/>
    </row>
    <row r="117" spans="2:24" ht="15" customHeight="1" x14ac:dyDescent="0.25">
      <c r="B117" s="5"/>
      <c r="C117" s="266" t="s">
        <v>385</v>
      </c>
      <c r="D117" s="266"/>
      <c r="E117" s="266"/>
      <c r="F117" s="266"/>
      <c r="G117" s="45"/>
      <c r="H117" s="45"/>
      <c r="I117" s="28"/>
      <c r="J117" s="18"/>
      <c r="K117" s="18"/>
      <c r="L117" s="18"/>
      <c r="M117" s="18"/>
      <c r="N117" s="18"/>
      <c r="O117" s="18"/>
      <c r="P117" s="18"/>
      <c r="Q117" s="18"/>
      <c r="R117" s="18"/>
      <c r="S117" s="18"/>
      <c r="T117" s="18"/>
      <c r="U117" s="18"/>
      <c r="V117" s="18"/>
      <c r="W117" s="18"/>
      <c r="X117" s="18"/>
    </row>
    <row r="118" spans="2:24" ht="15" customHeight="1" x14ac:dyDescent="0.25">
      <c r="B118" s="5"/>
      <c r="C118" s="28"/>
      <c r="D118" s="347" t="s">
        <v>122</v>
      </c>
      <c r="E118" s="347"/>
      <c r="F118" s="347"/>
      <c r="G118" s="186"/>
      <c r="H118" s="182"/>
      <c r="I118" s="28"/>
      <c r="J118" s="18"/>
      <c r="K118" s="18"/>
      <c r="L118" s="18"/>
      <c r="M118" s="18"/>
      <c r="N118" s="18"/>
      <c r="O118" s="18"/>
      <c r="P118" s="55"/>
      <c r="Q118" s="55"/>
      <c r="R118" s="18"/>
      <c r="S118" s="18"/>
      <c r="T118" s="18"/>
      <c r="U118" s="18"/>
      <c r="V118" s="18"/>
      <c r="W118" s="18"/>
      <c r="X118" s="18"/>
    </row>
    <row r="119" spans="2:24" ht="15" customHeight="1" x14ac:dyDescent="0.25">
      <c r="B119" s="5"/>
      <c r="C119" s="28"/>
      <c r="D119" s="347"/>
      <c r="E119" s="347"/>
      <c r="F119" s="347"/>
      <c r="G119" s="186"/>
      <c r="H119" s="182"/>
      <c r="I119" s="28"/>
      <c r="J119" s="316" t="str">
        <f>IF(ISBLANK('(3) Variantenbewertung'!$I$11),"",'(3) Variantenbewertung'!$I$11)</f>
        <v>V1</v>
      </c>
      <c r="K119" s="316"/>
      <c r="L119" s="18"/>
      <c r="M119" s="316" t="str">
        <f>IF(ISBLANK('(3) Variantenbewertung'!$L$11),"",'(3) Variantenbewertung'!$L$11)</f>
        <v>V2</v>
      </c>
      <c r="N119" s="316"/>
      <c r="O119" s="18"/>
      <c r="P119" s="316" t="str">
        <f>IF(ISBLANK('(3) Variantenbewertung'!$O$11),"",'(3) Variantenbewertung'!$O$11)</f>
        <v>V3</v>
      </c>
      <c r="Q119" s="316"/>
      <c r="R119" s="18"/>
      <c r="S119" s="316" t="str">
        <f>IF(ISBLANK('(3) Variantenbewertung'!$R$11),"",'(3) Variantenbewertung'!$R$11)</f>
        <v/>
      </c>
      <c r="T119" s="316"/>
      <c r="U119" s="18"/>
      <c r="V119" s="316" t="str">
        <f>IF(ISBLANK('(3) Variantenbewertung'!$U$11),"",'(3) Variantenbewertung'!$U$11)</f>
        <v/>
      </c>
      <c r="W119" s="316"/>
      <c r="X119" s="17"/>
    </row>
    <row r="120" spans="2:24" ht="15" customHeight="1" x14ac:dyDescent="0.25">
      <c r="B120" s="5"/>
      <c r="C120" s="28"/>
      <c r="D120" s="28"/>
      <c r="E120" s="27"/>
      <c r="F120" s="27"/>
      <c r="G120" s="28"/>
      <c r="H120" s="28"/>
      <c r="I120" s="28"/>
      <c r="J120" s="125" t="s">
        <v>66</v>
      </c>
      <c r="K120" s="53" t="str">
        <f>IF($E$121="Nicht vorhanden","","Bitte begründen:")</f>
        <v>Bitte begründen:</v>
      </c>
      <c r="L120" s="17"/>
      <c r="M120" s="125" t="s">
        <v>66</v>
      </c>
      <c r="N120" s="53" t="str">
        <f>IF($E$121="Nicht vorhanden","","Bitte begründen:")</f>
        <v>Bitte begründen:</v>
      </c>
      <c r="O120" s="17"/>
      <c r="P120" s="125" t="s">
        <v>66</v>
      </c>
      <c r="Q120" s="53" t="str">
        <f>IF($E$121="Nicht vorhanden","","Bitte begründen:")</f>
        <v>Bitte begründen:</v>
      </c>
      <c r="R120" s="17"/>
      <c r="S120" s="125" t="s">
        <v>66</v>
      </c>
      <c r="T120" s="53" t="str">
        <f>IF($E$121="Nicht vorhanden","","Bitte begründen:")</f>
        <v>Bitte begründen:</v>
      </c>
      <c r="U120" s="17"/>
      <c r="V120" s="125" t="s">
        <v>66</v>
      </c>
      <c r="W120" s="53" t="str">
        <f>IF($E$121="Nicht vorhanden","","Bitte begründen:")</f>
        <v>Bitte begründen:</v>
      </c>
      <c r="X120" s="17"/>
    </row>
    <row r="121" spans="2:24" ht="15" customHeight="1" x14ac:dyDescent="0.25">
      <c r="B121" s="5"/>
      <c r="C121" s="28"/>
      <c r="D121" s="30"/>
      <c r="E121" s="298" t="s">
        <v>50</v>
      </c>
      <c r="F121" s="228"/>
      <c r="G121" s="28"/>
      <c r="H121" s="28"/>
      <c r="I121" s="28"/>
      <c r="J121" s="199"/>
      <c r="K121" s="318"/>
      <c r="L121" s="18"/>
      <c r="M121" s="199" t="s">
        <v>178</v>
      </c>
      <c r="N121" s="318"/>
      <c r="O121" s="18"/>
      <c r="P121" s="199"/>
      <c r="Q121" s="318"/>
      <c r="R121" s="20"/>
      <c r="S121" s="199"/>
      <c r="T121" s="318"/>
      <c r="U121" s="18"/>
      <c r="V121" s="199"/>
      <c r="W121" s="318"/>
      <c r="X121" s="18"/>
    </row>
    <row r="122" spans="2:24" ht="15" customHeight="1" x14ac:dyDescent="0.25">
      <c r="B122" s="5"/>
      <c r="C122" s="36"/>
      <c r="D122" s="35"/>
      <c r="E122" s="265" t="s">
        <v>51</v>
      </c>
      <c r="F122" s="265"/>
      <c r="G122" s="28"/>
      <c r="H122" s="28"/>
      <c r="I122" s="28"/>
      <c r="J122" s="99" t="s">
        <v>178</v>
      </c>
      <c r="K122" s="319"/>
      <c r="L122" s="18"/>
      <c r="M122" s="99"/>
      <c r="N122" s="319"/>
      <c r="O122" s="18"/>
      <c r="P122" s="99" t="s">
        <v>178</v>
      </c>
      <c r="Q122" s="319"/>
      <c r="R122" s="18"/>
      <c r="S122" s="99"/>
      <c r="T122" s="319"/>
      <c r="U122" s="18"/>
      <c r="V122" s="99"/>
      <c r="W122" s="319"/>
      <c r="X122" s="18"/>
    </row>
    <row r="123" spans="2:24" ht="15" customHeight="1" x14ac:dyDescent="0.25">
      <c r="C123" s="28"/>
      <c r="D123" s="32"/>
      <c r="E123" s="265" t="s">
        <v>52</v>
      </c>
      <c r="F123" s="265"/>
      <c r="G123" s="28"/>
      <c r="H123" s="28"/>
      <c r="I123" s="28"/>
      <c r="J123" s="99"/>
      <c r="K123" s="320"/>
      <c r="L123" s="18"/>
      <c r="M123" s="99"/>
      <c r="N123" s="320"/>
      <c r="O123" s="18"/>
      <c r="P123" s="99"/>
      <c r="Q123" s="320"/>
      <c r="R123" s="18"/>
      <c r="S123" s="99"/>
      <c r="T123" s="320"/>
      <c r="U123" s="18"/>
      <c r="V123" s="99"/>
      <c r="W123" s="320"/>
      <c r="X123" s="18"/>
    </row>
    <row r="124" spans="2:24" ht="15" customHeight="1" x14ac:dyDescent="0.25">
      <c r="C124" s="28"/>
      <c r="D124" s="28"/>
      <c r="E124" s="28"/>
      <c r="F124" s="28"/>
      <c r="G124" s="28"/>
      <c r="H124" s="28"/>
      <c r="I124" s="28"/>
      <c r="J124" s="25" t="str">
        <f>IF(COUNTIF(J$121:J$123,"x")&lt;&gt;1,"FEHLER",IF(J$121="x","gut",IF(J$122="x","mässig","schlecht")))</f>
        <v>mässig</v>
      </c>
      <c r="K124" s="165"/>
      <c r="L124" s="18"/>
      <c r="M124" s="25" t="str">
        <f>IF(COUNTIF(M$121:M$123,"x")&lt;&gt;1,"FEHLER",IF(M$121="x","gut",IF(M$122="x","mässig","schlecht")))</f>
        <v>gut</v>
      </c>
      <c r="N124" s="165"/>
      <c r="O124" s="18"/>
      <c r="P124" s="25" t="str">
        <f>IF(COUNTIF(P$121:P$123,"x")&lt;&gt;1,"FEHLER",IF(P$121="x","gut",IF(P$122="x","mässig","schlecht")))</f>
        <v>mässig</v>
      </c>
      <c r="Q124" s="165"/>
      <c r="R124" s="18"/>
      <c r="S124" s="25" t="str">
        <f>IF(COUNTIF(S$121:S$123,"x")&lt;&gt;1,"FEHLER",IF(S$121="x","gut",IF(S$122="x","mässig","schlecht")))</f>
        <v>FEHLER</v>
      </c>
      <c r="T124" s="165"/>
      <c r="U124" s="18"/>
      <c r="V124" s="25" t="str">
        <f>IF(COUNTIF(V$121:V$123,"x")&lt;&gt;1,"FEHLER",IF(V$121="x","gut",IF(V$122="x","mässig","schlecht")))</f>
        <v>FEHLER</v>
      </c>
      <c r="W124" s="165"/>
      <c r="X124" s="18"/>
    </row>
    <row r="125" spans="2:24" ht="15" customHeight="1" x14ac:dyDescent="0.25">
      <c r="C125" s="28"/>
      <c r="D125" s="28"/>
      <c r="E125" s="28"/>
      <c r="F125" s="28"/>
      <c r="G125" s="28"/>
      <c r="H125" s="28"/>
      <c r="I125" s="28"/>
      <c r="J125" s="20"/>
      <c r="K125" s="20"/>
      <c r="L125" s="18"/>
      <c r="M125" s="20"/>
      <c r="N125" s="20"/>
      <c r="O125" s="18"/>
      <c r="P125" s="20"/>
      <c r="Q125" s="20"/>
      <c r="R125" s="18"/>
      <c r="S125" s="20"/>
      <c r="T125" s="20"/>
      <c r="U125" s="18"/>
      <c r="V125" s="20"/>
      <c r="W125" s="20"/>
      <c r="X125" s="18"/>
    </row>
    <row r="126" spans="2:24" ht="15" customHeight="1" x14ac:dyDescent="0.25"/>
    <row r="127" spans="2:24" ht="15" customHeight="1" x14ac:dyDescent="0.25"/>
    <row r="128" spans="2:24" ht="15" customHeight="1" x14ac:dyDescent="0.25">
      <c r="C128" s="266" t="s">
        <v>386</v>
      </c>
      <c r="D128" s="266"/>
      <c r="E128" s="266"/>
      <c r="F128" s="266"/>
      <c r="G128" s="45"/>
      <c r="H128" s="45"/>
      <c r="I128" s="28"/>
      <c r="J128" s="18"/>
      <c r="K128" s="18"/>
      <c r="L128" s="18"/>
      <c r="M128" s="18"/>
      <c r="N128" s="18"/>
      <c r="O128" s="18"/>
      <c r="P128" s="18"/>
      <c r="Q128" s="18"/>
      <c r="R128" s="18"/>
      <c r="S128" s="18"/>
      <c r="T128" s="18"/>
      <c r="U128" s="18"/>
      <c r="V128" s="18"/>
      <c r="W128" s="18"/>
      <c r="X128" s="18"/>
    </row>
    <row r="129" spans="3:24" ht="15" customHeight="1" x14ac:dyDescent="0.25">
      <c r="C129" s="28"/>
      <c r="D129" s="347" t="s">
        <v>150</v>
      </c>
      <c r="E129" s="347"/>
      <c r="F129" s="347"/>
      <c r="G129" s="186"/>
      <c r="H129" s="182"/>
      <c r="I129" s="28"/>
      <c r="J129" s="316" t="str">
        <f>IF(ISBLANK('(3) Variantenbewertung'!$I$11),"",'(3) Variantenbewertung'!$I$11)</f>
        <v>V1</v>
      </c>
      <c r="K129" s="316"/>
      <c r="L129" s="18"/>
      <c r="M129" s="316" t="str">
        <f>IF(ISBLANK('(3) Variantenbewertung'!$L$11),"",'(3) Variantenbewertung'!$L$11)</f>
        <v>V2</v>
      </c>
      <c r="N129" s="316"/>
      <c r="O129" s="18"/>
      <c r="P129" s="316" t="str">
        <f>IF(ISBLANK('(3) Variantenbewertung'!$O$11),"",'(3) Variantenbewertung'!$O$11)</f>
        <v>V3</v>
      </c>
      <c r="Q129" s="316"/>
      <c r="R129" s="18"/>
      <c r="S129" s="316" t="str">
        <f>IF(ISBLANK('(3) Variantenbewertung'!$R$11),"",'(3) Variantenbewertung'!$R$11)</f>
        <v/>
      </c>
      <c r="T129" s="316"/>
      <c r="U129" s="18"/>
      <c r="V129" s="316" t="str">
        <f>IF(ISBLANK('(3) Variantenbewertung'!$U$11),"",'(3) Variantenbewertung'!$U$11)</f>
        <v/>
      </c>
      <c r="W129" s="316"/>
      <c r="X129" s="18"/>
    </row>
    <row r="130" spans="3:24" ht="15" customHeight="1" x14ac:dyDescent="0.25">
      <c r="C130" s="28"/>
      <c r="D130" s="347"/>
      <c r="E130" s="347"/>
      <c r="F130" s="347"/>
      <c r="G130" s="186"/>
      <c r="H130" s="182"/>
      <c r="I130" s="28"/>
      <c r="J130" s="132" t="s">
        <v>221</v>
      </c>
      <c r="K130" s="133" t="s">
        <v>222</v>
      </c>
      <c r="L130" s="17"/>
      <c r="M130" s="132" t="s">
        <v>221</v>
      </c>
      <c r="N130" s="133" t="s">
        <v>222</v>
      </c>
      <c r="O130" s="17"/>
      <c r="P130" s="132" t="s">
        <v>221</v>
      </c>
      <c r="Q130" s="133" t="s">
        <v>222</v>
      </c>
      <c r="R130" s="17"/>
      <c r="S130" s="132" t="s">
        <v>221</v>
      </c>
      <c r="T130" s="133" t="s">
        <v>222</v>
      </c>
      <c r="U130" s="17"/>
      <c r="V130" s="132" t="s">
        <v>221</v>
      </c>
      <c r="W130" s="133" t="s">
        <v>222</v>
      </c>
      <c r="X130" s="17"/>
    </row>
    <row r="131" spans="3:24" ht="15" customHeight="1" x14ac:dyDescent="0.25">
      <c r="C131" s="28"/>
      <c r="D131" s="28"/>
      <c r="E131" s="27"/>
      <c r="F131" s="27"/>
      <c r="G131" s="28"/>
      <c r="H131" s="28"/>
      <c r="I131" s="28"/>
      <c r="J131" s="25" t="s">
        <v>164</v>
      </c>
      <c r="K131" s="53" t="str">
        <f>IF(NOT(K135="keine Korrektur"),"Bitte begründen:","")</f>
        <v/>
      </c>
      <c r="L131" s="17"/>
      <c r="M131" s="25" t="s">
        <v>164</v>
      </c>
      <c r="N131" s="53" t="str">
        <f>IF(NOT(N135="keine Korrektur"),"Bitte begründen:","")</f>
        <v/>
      </c>
      <c r="O131" s="17"/>
      <c r="P131" s="25" t="s">
        <v>164</v>
      </c>
      <c r="Q131" s="53" t="str">
        <f>IF(NOT(Q135="keine Korrektur"),"Bitte begründen:","")</f>
        <v/>
      </c>
      <c r="R131" s="17"/>
      <c r="S131" s="25" t="s">
        <v>164</v>
      </c>
      <c r="T131" s="53" t="str">
        <f>IF(NOT(T135="keine Korrektur"),"Bitte begründen:","")</f>
        <v/>
      </c>
      <c r="U131" s="17"/>
      <c r="V131" s="25" t="s">
        <v>164</v>
      </c>
      <c r="W131" s="53" t="str">
        <f>IF(NOT(W135="keine Korrektur"),"Bitte begründen:","")</f>
        <v/>
      </c>
      <c r="X131" s="17"/>
    </row>
    <row r="132" spans="3:24" ht="15" customHeight="1" x14ac:dyDescent="0.25">
      <c r="C132" s="28"/>
      <c r="D132" s="30"/>
      <c r="E132" s="298" t="str">
        <f>IF(COUNTIF('(1) Grundlagen'!$C$36,TRUE)&lt;1,"Nicht vorhanden","0 bis 33%")</f>
        <v>0 bis 33%</v>
      </c>
      <c r="F132" s="228"/>
      <c r="G132" s="28"/>
      <c r="H132" s="28"/>
      <c r="I132" s="28"/>
      <c r="J132" s="261">
        <v>0</v>
      </c>
      <c r="K132" s="318"/>
      <c r="L132" s="18"/>
      <c r="M132" s="261">
        <v>10</v>
      </c>
      <c r="N132" s="318"/>
      <c r="O132" s="18"/>
      <c r="P132" s="261">
        <v>35</v>
      </c>
      <c r="Q132" s="318"/>
      <c r="R132" s="20"/>
      <c r="S132" s="261"/>
      <c r="T132" s="318"/>
      <c r="U132" s="18"/>
      <c r="V132" s="261"/>
      <c r="W132" s="318"/>
      <c r="X132" s="18"/>
    </row>
    <row r="133" spans="3:24" ht="15" customHeight="1" x14ac:dyDescent="0.25">
      <c r="C133" s="36"/>
      <c r="D133" s="35"/>
      <c r="E133" s="265" t="str">
        <f>IF(COUNTIF('(1) Grundlagen'!$C$36,TRUE)&lt;1,"","33 bis 66%")</f>
        <v>33 bis 66%</v>
      </c>
      <c r="F133" s="265"/>
      <c r="G133" s="28"/>
      <c r="H133" s="28"/>
      <c r="I133" s="28"/>
      <c r="J133" s="317"/>
      <c r="K133" s="319"/>
      <c r="L133" s="18"/>
      <c r="M133" s="317"/>
      <c r="N133" s="319"/>
      <c r="O133" s="18"/>
      <c r="P133" s="317"/>
      <c r="Q133" s="319"/>
      <c r="R133" s="18"/>
      <c r="S133" s="317"/>
      <c r="T133" s="319"/>
      <c r="U133" s="18"/>
      <c r="V133" s="317"/>
      <c r="W133" s="319"/>
      <c r="X133" s="18"/>
    </row>
    <row r="134" spans="3:24" ht="15" customHeight="1" x14ac:dyDescent="0.25">
      <c r="C134" s="28"/>
      <c r="D134" s="32"/>
      <c r="E134" s="265" t="str">
        <f>IF(COUNTIF('(1) Grundlagen'!$C$36,TRUE)&lt;1,"","66 bis 100%")</f>
        <v>66 bis 100%</v>
      </c>
      <c r="F134" s="265"/>
      <c r="G134" s="28"/>
      <c r="H134" s="28"/>
      <c r="I134" s="28"/>
      <c r="J134" s="262"/>
      <c r="K134" s="320"/>
      <c r="L134" s="18"/>
      <c r="M134" s="262"/>
      <c r="N134" s="320"/>
      <c r="O134" s="18"/>
      <c r="P134" s="262"/>
      <c r="Q134" s="320"/>
      <c r="R134" s="18"/>
      <c r="S134" s="262"/>
      <c r="T134" s="320"/>
      <c r="U134" s="18"/>
      <c r="V134" s="262"/>
      <c r="W134" s="320"/>
      <c r="X134" s="18"/>
    </row>
    <row r="135" spans="3:24" ht="15" customHeight="1" x14ac:dyDescent="0.25">
      <c r="C135" s="28"/>
      <c r="D135" s="28"/>
      <c r="E135" s="28"/>
      <c r="F135" s="28"/>
      <c r="G135" s="28"/>
      <c r="H135" s="28"/>
      <c r="I135" s="28"/>
      <c r="J135" s="25" t="str">
        <f>IF($E$132="Nicht vorhanden","",IF(OR(ISBLANK(J132),NOT(ISNUMBER(J132))),"WERT?",IF(J132&lt;=33,"gut",IF(AND(J132&gt;33,J132&lt;=66),"mässig","schlecht"))))</f>
        <v>gut</v>
      </c>
      <c r="K135" s="99" t="s">
        <v>45</v>
      </c>
      <c r="L135" s="18"/>
      <c r="M135" s="25" t="str">
        <f>IF($E$132="Nicht vorhanden","",IF(OR(ISBLANK(M132),NOT(ISNUMBER(M132))),"WERT?",IF(M132&lt;=33,"gut",IF(AND(M132&gt;33,M132&lt;=66),"mässig","schlecht"))))</f>
        <v>gut</v>
      </c>
      <c r="N135" s="99" t="s">
        <v>45</v>
      </c>
      <c r="O135" s="18"/>
      <c r="P135" s="25" t="str">
        <f>IF($E$132="Nicht vorhanden","",IF(OR(ISBLANK(P132),NOT(ISNUMBER(P132))),"WERT?",IF(P132&lt;=33,"gut",IF(AND(P132&gt;33,P132&lt;=66),"mässig","schlecht"))))</f>
        <v>mässig</v>
      </c>
      <c r="Q135" s="99" t="s">
        <v>45</v>
      </c>
      <c r="R135" s="18"/>
      <c r="S135" s="25" t="str">
        <f>IF($E$132="Nicht vorhanden","",IF(OR(ISBLANK(S132),NOT(ISNUMBER(S132))),"WERT?",IF(S132&lt;=33,"gut",IF(AND(S132&gt;33,S132&lt;=66),"mässig","schlecht"))))</f>
        <v>WERT?</v>
      </c>
      <c r="T135" s="99" t="s">
        <v>45</v>
      </c>
      <c r="U135" s="18"/>
      <c r="V135" s="25" t="str">
        <f>IF($E$132="Nicht vorhanden","",IF(OR(ISBLANK(V132),NOT(ISNUMBER(V132))),"WERT?",IF(V132&lt;=33,"gut",IF(AND(V132&gt;33,V132&lt;=66),"mässig","schlecht"))))</f>
        <v>WERT?</v>
      </c>
      <c r="W135" s="99" t="s">
        <v>45</v>
      </c>
      <c r="X135" s="18"/>
    </row>
    <row r="136" spans="3:24" ht="15" customHeight="1" x14ac:dyDescent="0.25">
      <c r="C136" s="28"/>
      <c r="D136" s="28"/>
      <c r="E136" s="28"/>
      <c r="F136" s="28"/>
      <c r="G136" s="28"/>
      <c r="H136" s="28"/>
      <c r="I136" s="28"/>
      <c r="J136" s="20"/>
      <c r="K136" s="20"/>
      <c r="L136" s="18"/>
      <c r="M136" s="20"/>
      <c r="N136" s="20"/>
      <c r="O136" s="18"/>
      <c r="P136" s="20"/>
      <c r="Q136" s="20"/>
      <c r="R136" s="18"/>
      <c r="S136" s="20"/>
      <c r="T136" s="20"/>
      <c r="U136" s="18"/>
      <c r="V136" s="20"/>
      <c r="W136" s="20"/>
      <c r="X136" s="18"/>
    </row>
    <row r="137" spans="3:24" ht="15" customHeight="1" x14ac:dyDescent="0.25"/>
    <row r="138" spans="3:24" ht="15" customHeight="1" x14ac:dyDescent="0.25"/>
    <row r="139" spans="3:24" ht="15" customHeight="1" x14ac:dyDescent="0.25">
      <c r="C139" s="266" t="s">
        <v>387</v>
      </c>
      <c r="D139" s="266"/>
      <c r="E139" s="266"/>
      <c r="F139" s="266"/>
      <c r="G139" s="45"/>
      <c r="H139" s="45"/>
      <c r="I139" s="28"/>
      <c r="J139" s="18"/>
      <c r="K139" s="18"/>
      <c r="L139" s="18"/>
      <c r="M139" s="18"/>
      <c r="N139" s="18"/>
      <c r="O139" s="18"/>
      <c r="P139" s="18"/>
      <c r="Q139" s="18"/>
      <c r="R139" s="18"/>
      <c r="S139" s="18"/>
      <c r="T139" s="18"/>
      <c r="U139" s="18"/>
      <c r="V139" s="18"/>
      <c r="W139" s="18"/>
      <c r="X139" s="18"/>
    </row>
    <row r="140" spans="3:24" ht="15" customHeight="1" x14ac:dyDescent="0.25">
      <c r="C140" s="28"/>
      <c r="D140" s="321" t="s">
        <v>149</v>
      </c>
      <c r="E140" s="329"/>
      <c r="F140" s="329"/>
      <c r="G140" s="329"/>
      <c r="H140" s="182"/>
      <c r="I140" s="28"/>
      <c r="J140" s="18"/>
      <c r="K140" s="18"/>
      <c r="L140" s="18"/>
      <c r="M140" s="18"/>
      <c r="N140" s="18"/>
      <c r="O140" s="18"/>
      <c r="P140" s="55"/>
      <c r="Q140" s="55"/>
      <c r="R140" s="18"/>
      <c r="S140" s="18"/>
      <c r="T140" s="18"/>
      <c r="U140" s="18"/>
      <c r="V140" s="18"/>
      <c r="W140" s="18"/>
      <c r="X140" s="18"/>
    </row>
    <row r="141" spans="3:24" ht="15" customHeight="1" x14ac:dyDescent="0.25">
      <c r="C141" s="28"/>
      <c r="D141" s="329"/>
      <c r="E141" s="329"/>
      <c r="F141" s="329"/>
      <c r="G141" s="329"/>
      <c r="H141" s="182"/>
      <c r="I141" s="28"/>
      <c r="J141" s="316" t="str">
        <f>IF(ISBLANK('(3) Variantenbewertung'!$I$11),"",'(3) Variantenbewertung'!$I$11)</f>
        <v>V1</v>
      </c>
      <c r="K141" s="316"/>
      <c r="L141" s="18"/>
      <c r="M141" s="316" t="str">
        <f>IF(ISBLANK('(3) Variantenbewertung'!$L$11),"",'(3) Variantenbewertung'!$L$11)</f>
        <v>V2</v>
      </c>
      <c r="N141" s="316"/>
      <c r="O141" s="18"/>
      <c r="P141" s="316" t="str">
        <f>IF(ISBLANK('(3) Variantenbewertung'!$O$11),"",'(3) Variantenbewertung'!$O$11)</f>
        <v>V3</v>
      </c>
      <c r="Q141" s="316"/>
      <c r="R141" s="18"/>
      <c r="S141" s="316" t="str">
        <f>IF(ISBLANK('(3) Variantenbewertung'!$R$11),"",'(3) Variantenbewertung'!$R$11)</f>
        <v/>
      </c>
      <c r="T141" s="316"/>
      <c r="U141" s="18"/>
      <c r="V141" s="316" t="str">
        <f>IF(ISBLANK('(3) Variantenbewertung'!$U$11),"",'(3) Variantenbewertung'!$U$11)</f>
        <v/>
      </c>
      <c r="W141" s="316"/>
      <c r="X141" s="17"/>
    </row>
    <row r="142" spans="3:24" ht="15" customHeight="1" x14ac:dyDescent="0.25">
      <c r="C142" s="28"/>
      <c r="D142" s="28"/>
      <c r="E142" s="27"/>
      <c r="F142" s="27"/>
      <c r="G142" s="28"/>
      <c r="H142" s="28"/>
      <c r="I142" s="28"/>
      <c r="J142" s="125" t="s">
        <v>66</v>
      </c>
      <c r="K142" s="53" t="str">
        <f>IF($E$143="Nicht vorhanden","","Bitte begründen:")</f>
        <v>Bitte begründen:</v>
      </c>
      <c r="L142" s="17"/>
      <c r="M142" s="125" t="s">
        <v>66</v>
      </c>
      <c r="N142" s="53" t="str">
        <f>IF($E$143="Nicht vorhanden","","Bitte begründen:")</f>
        <v>Bitte begründen:</v>
      </c>
      <c r="O142" s="17"/>
      <c r="P142" s="125" t="s">
        <v>66</v>
      </c>
      <c r="Q142" s="53" t="str">
        <f>IF($E$143="Nicht vorhanden","","Bitte begründen:")</f>
        <v>Bitte begründen:</v>
      </c>
      <c r="R142" s="17"/>
      <c r="S142" s="125" t="s">
        <v>66</v>
      </c>
      <c r="T142" s="53" t="str">
        <f>IF($E$143="Nicht vorhanden","","Bitte begründen:")</f>
        <v>Bitte begründen:</v>
      </c>
      <c r="U142" s="17"/>
      <c r="V142" s="125" t="s">
        <v>66</v>
      </c>
      <c r="W142" s="53" t="str">
        <f>IF($E$143="Nicht vorhanden","","Bitte begründen:")</f>
        <v>Bitte begründen:</v>
      </c>
      <c r="X142" s="17"/>
    </row>
    <row r="143" spans="3:24" ht="15" customHeight="1" x14ac:dyDescent="0.25">
      <c r="C143" s="28"/>
      <c r="D143" s="30"/>
      <c r="E143" s="298" t="str">
        <f>IF(COUNTIF('(1) Grundlagen'!$C$38,TRUE)&lt;1,"Nicht vorhanden","nein / ja, Schutzziele werden ungeschmälert erhalten")</f>
        <v>nein / ja, Schutzziele werden ungeschmälert erhalten</v>
      </c>
      <c r="F143" s="228"/>
      <c r="G143" s="28"/>
      <c r="H143" s="28"/>
      <c r="I143" s="28"/>
      <c r="J143" s="199"/>
      <c r="K143" s="318"/>
      <c r="L143" s="18"/>
      <c r="M143" s="199" t="s">
        <v>178</v>
      </c>
      <c r="N143" s="318"/>
      <c r="O143" s="18"/>
      <c r="P143" s="199" t="s">
        <v>178</v>
      </c>
      <c r="Q143" s="318"/>
      <c r="R143" s="20"/>
      <c r="S143" s="199"/>
      <c r="T143" s="318"/>
      <c r="U143" s="18"/>
      <c r="V143" s="199"/>
      <c r="W143" s="318"/>
      <c r="X143" s="18"/>
    </row>
    <row r="144" spans="3:24" ht="15" customHeight="1" x14ac:dyDescent="0.25">
      <c r="C144" s="36"/>
      <c r="D144" s="35"/>
      <c r="E144" s="265" t="str">
        <f>IF(COUNTIF('(1) Grundlagen'!$C$38,TRUE)&lt;1,"","ja, Schutzziele werden geringfügig beeinträchtigt")</f>
        <v>ja, Schutzziele werden geringfügig beeinträchtigt</v>
      </c>
      <c r="F144" s="265"/>
      <c r="G144" s="28"/>
      <c r="H144" s="28"/>
      <c r="I144" s="28"/>
      <c r="J144" s="99" t="s">
        <v>178</v>
      </c>
      <c r="K144" s="319"/>
      <c r="L144" s="18"/>
      <c r="M144" s="99"/>
      <c r="N144" s="319"/>
      <c r="O144" s="18"/>
      <c r="P144" s="99"/>
      <c r="Q144" s="319"/>
      <c r="R144" s="18"/>
      <c r="S144" s="99"/>
      <c r="T144" s="319"/>
      <c r="U144" s="18"/>
      <c r="V144" s="99"/>
      <c r="W144" s="319"/>
      <c r="X144" s="18"/>
    </row>
    <row r="145" spans="2:24" ht="15" customHeight="1" x14ac:dyDescent="0.25">
      <c r="C145" s="28"/>
      <c r="D145" s="32"/>
      <c r="E145" s="265" t="str">
        <f>IF(COUNTIF('(1) Grundlagen'!$C$38,TRUE)&lt;1,"","ja, Schutzziele werden massgeblich beeinträchtigt")</f>
        <v>ja, Schutzziele werden massgeblich beeinträchtigt</v>
      </c>
      <c r="F145" s="265"/>
      <c r="G145" s="28"/>
      <c r="H145" s="28"/>
      <c r="I145" s="28"/>
      <c r="J145" s="99"/>
      <c r="K145" s="320"/>
      <c r="L145" s="18"/>
      <c r="M145" s="99"/>
      <c r="N145" s="320"/>
      <c r="O145" s="18"/>
      <c r="P145" s="99"/>
      <c r="Q145" s="320"/>
      <c r="R145" s="18"/>
      <c r="S145" s="99"/>
      <c r="T145" s="320"/>
      <c r="U145" s="18"/>
      <c r="V145" s="99"/>
      <c r="W145" s="320"/>
      <c r="X145" s="18"/>
    </row>
    <row r="146" spans="2:24" ht="15" customHeight="1" x14ac:dyDescent="0.25">
      <c r="C146" s="28"/>
      <c r="D146" s="28"/>
      <c r="E146" s="28"/>
      <c r="F146" s="28"/>
      <c r="G146" s="28"/>
      <c r="H146" s="28"/>
      <c r="I146" s="28"/>
      <c r="J146" s="25" t="str">
        <f>IF($E$143="Nicht vorhanden","",IF(COUNTIF(J$143:J$145,"x")&lt;&gt;1,"FEHLER",IF(J$143="x","gut",IF(J$144="x","mässig","schlecht"))))</f>
        <v>mässig</v>
      </c>
      <c r="K146" s="165"/>
      <c r="L146" s="18"/>
      <c r="M146" s="25" t="str">
        <f>IF($E$143="Nicht vorhanden","",IF(COUNTIF(M$143:M$145,"x")&lt;&gt;1,"FEHLER",IF(M$143="x","gut",IF(M$144="x","mässig","schlecht"))))</f>
        <v>gut</v>
      </c>
      <c r="N146" s="165"/>
      <c r="O146" s="18"/>
      <c r="P146" s="25" t="str">
        <f>IF($E$143="Nicht vorhanden","",IF(COUNTIF(P$143:P$145,"x")&lt;&gt;1,"FEHLER",IF(P$143="x","gut",IF(P$144="x","mässig","schlecht"))))</f>
        <v>gut</v>
      </c>
      <c r="Q146" s="165"/>
      <c r="R146" s="18"/>
      <c r="S146" s="25" t="str">
        <f>IF($E$143="Nicht vorhanden","",IF(COUNTIF(S$143:S$145,"x")&lt;&gt;1,"FEHLER",IF(S$143="x","gut",IF(S$144="x","mässig","schlecht"))))</f>
        <v>FEHLER</v>
      </c>
      <c r="T146" s="165"/>
      <c r="U146" s="18"/>
      <c r="V146" s="25" t="str">
        <f>IF($E$143="Nicht vorhanden","",IF(COUNTIF(V$143:V$145,"x")&lt;&gt;1,"FEHLER",IF(V$143="x","gut",IF(V$144="x","mässig","schlecht"))))</f>
        <v>FEHLER</v>
      </c>
      <c r="W146" s="165"/>
      <c r="X146" s="18"/>
    </row>
    <row r="147" spans="2:24" ht="15" customHeight="1" x14ac:dyDescent="0.25">
      <c r="C147" s="28"/>
      <c r="D147" s="28"/>
      <c r="E147" s="28"/>
      <c r="F147" s="28"/>
      <c r="G147" s="28"/>
      <c r="H147" s="28"/>
      <c r="I147" s="28"/>
      <c r="J147" s="20"/>
      <c r="K147" s="20"/>
      <c r="L147" s="18"/>
      <c r="M147" s="20"/>
      <c r="N147" s="20"/>
      <c r="O147" s="18"/>
      <c r="P147" s="20"/>
      <c r="Q147" s="20"/>
      <c r="R147" s="18"/>
      <c r="S147" s="20"/>
      <c r="T147" s="20"/>
      <c r="U147" s="18"/>
      <c r="V147" s="20"/>
      <c r="W147" s="20"/>
      <c r="X147" s="18"/>
    </row>
    <row r="148" spans="2:24" ht="15" customHeight="1" x14ac:dyDescent="0.25"/>
    <row r="149" spans="2:24" ht="15" customHeight="1" x14ac:dyDescent="0.25"/>
    <row r="150" spans="2:24" ht="15" customHeight="1" x14ac:dyDescent="0.25"/>
    <row r="151" spans="2:24" ht="15" customHeight="1" x14ac:dyDescent="0.25">
      <c r="B151" s="5"/>
      <c r="C151" s="2"/>
      <c r="D151" s="2"/>
      <c r="E151" s="2"/>
      <c r="F151" s="38"/>
      <c r="G151" s="29"/>
      <c r="H151" s="29"/>
      <c r="I151" s="29"/>
      <c r="J151" s="34"/>
      <c r="K151" s="34"/>
      <c r="L151" s="34"/>
      <c r="M151" s="34"/>
      <c r="N151" s="34"/>
      <c r="O151" s="34"/>
      <c r="P151" s="34"/>
      <c r="Q151" s="34"/>
      <c r="R151" s="34"/>
      <c r="S151" s="34"/>
      <c r="T151" s="34"/>
      <c r="U151" s="34"/>
      <c r="V151" s="34"/>
      <c r="W151" s="34"/>
      <c r="X151" s="34"/>
    </row>
    <row r="152" spans="2:24" ht="15" customHeight="1" x14ac:dyDescent="0.25">
      <c r="B152" s="5"/>
      <c r="C152" s="5"/>
      <c r="D152" s="5"/>
      <c r="E152" s="5"/>
      <c r="F152" s="29"/>
      <c r="G152" s="29"/>
      <c r="H152" s="29"/>
      <c r="I152" s="29"/>
      <c r="J152" s="316" t="str">
        <f>IF(ISBLANK('(3) Variantenbewertung'!$I$11),"",'(3) Variantenbewertung'!$I$11)</f>
        <v>V1</v>
      </c>
      <c r="K152" s="316"/>
      <c r="L152" s="34"/>
      <c r="M152" s="316" t="str">
        <f>IF(ISBLANK('(3) Variantenbewertung'!$L$11),"",'(3) Variantenbewertung'!$L$11)</f>
        <v>V2</v>
      </c>
      <c r="N152" s="316"/>
      <c r="O152" s="34"/>
      <c r="P152" s="316" t="str">
        <f>IF(ISBLANK('(3) Variantenbewertung'!$O$11),"",'(3) Variantenbewertung'!$O$11)</f>
        <v>V3</v>
      </c>
      <c r="Q152" s="316"/>
      <c r="R152" s="34"/>
      <c r="S152" s="316" t="str">
        <f>IF(ISBLANK('(3) Variantenbewertung'!$R$11),"",'(3) Variantenbewertung'!$R$11)</f>
        <v/>
      </c>
      <c r="T152" s="316"/>
      <c r="U152" s="34"/>
      <c r="V152" s="316" t="str">
        <f>IF(ISBLANK('(3) Variantenbewertung'!$U$11),"",'(3) Variantenbewertung'!$U$11)</f>
        <v/>
      </c>
      <c r="W152" s="316"/>
      <c r="X152" s="34"/>
    </row>
    <row r="153" spans="2:24" ht="15" customHeight="1" x14ac:dyDescent="0.25">
      <c r="B153" s="5"/>
      <c r="C153" s="5"/>
      <c r="D153" s="5"/>
      <c r="E153" s="5"/>
      <c r="F153" s="29"/>
      <c r="G153" s="29"/>
      <c r="H153" s="29"/>
      <c r="I153" s="29"/>
      <c r="J153" s="132" t="s">
        <v>221</v>
      </c>
      <c r="K153" s="133" t="s">
        <v>222</v>
      </c>
      <c r="L153" s="24"/>
      <c r="M153" s="132" t="s">
        <v>221</v>
      </c>
      <c r="N153" s="133" t="s">
        <v>222</v>
      </c>
      <c r="O153" s="24"/>
      <c r="P153" s="132" t="s">
        <v>221</v>
      </c>
      <c r="Q153" s="133" t="s">
        <v>222</v>
      </c>
      <c r="R153" s="24"/>
      <c r="S153" s="132" t="s">
        <v>221</v>
      </c>
      <c r="T153" s="133" t="s">
        <v>222</v>
      </c>
      <c r="U153" s="24"/>
      <c r="V153" s="132" t="s">
        <v>221</v>
      </c>
      <c r="W153" s="133" t="s">
        <v>222</v>
      </c>
      <c r="X153" s="24"/>
    </row>
    <row r="154" spans="2:24" ht="15" customHeight="1" x14ac:dyDescent="0.25">
      <c r="B154" s="5"/>
      <c r="C154" s="5"/>
      <c r="D154" s="5"/>
      <c r="E154" s="5"/>
      <c r="F154" s="328" t="s">
        <v>388</v>
      </c>
      <c r="G154" s="328"/>
      <c r="H154" s="21"/>
      <c r="I154" s="29"/>
      <c r="J154" s="40" t="str">
        <f>IF(NOT(OR(COUNTIF(J109:J148,"FEHLER")&gt;=1,COUNTIF(J109:J148,"WERT?")&gt;=1)),IF(COUNTIF(J109:J148,"schlecht")&gt;=1,"schlecht",IF(COUNTIF(J109:J148,"mässig")&gt;=1,"mässig","gut")),"FEHLER")</f>
        <v>mässig</v>
      </c>
      <c r="K154" s="40" t="str">
        <f>IF(COUNTIF(K105:K146,"schlecht*")&gt;=1,"schlecht",IF(COUNTIF(K105:K146,"mässig*")&gt;=1,"mässig",IF(COUNTIF(K105:K146,"gut*")&gt;=1,"gut",J154)))</f>
        <v>mässig</v>
      </c>
      <c r="L154" s="34"/>
      <c r="M154" s="40" t="str">
        <f>IF(NOT(OR(COUNTIF(M109:M148,"FEHLER")&gt;=1,COUNTIF(M109:M148,"WERT?")&gt;=1)),IF(COUNTIF(M109:M148,"schlecht")&gt;=1,"schlecht",IF(COUNTIF(M109:M148,"mässig")&gt;=1,"mässig","gut")),"FEHLER")</f>
        <v>gut</v>
      </c>
      <c r="N154" s="40" t="str">
        <f>IF(COUNTIF(N105:N146,"schlecht*")&gt;=1,"schlecht",IF(COUNTIF(N105:N146,"mässig*")&gt;=1,"mässig",IF(COUNTIF(N105:N146,"gut*")&gt;=1,"gut",M154)))</f>
        <v>gut</v>
      </c>
      <c r="O154" s="34"/>
      <c r="P154" s="40" t="str">
        <f>IF(NOT(OR(COUNTIF(P109:P148,"FEHLER")&gt;=1,COUNTIF(P109:P148,"WERT?")&gt;=1)),IF(COUNTIF(P109:P148,"schlecht")&gt;=1,"schlecht",IF(COUNTIF(P109:P148,"mässig")&gt;=1,"mässig","gut")),"FEHLER")</f>
        <v>mässig</v>
      </c>
      <c r="Q154" s="40" t="str">
        <f>IF(COUNTIF(Q105:Q146,"schlecht*")&gt;=1,"schlecht",IF(COUNTIF(Q105:Q146,"mässig*")&gt;=1,"mässig",IF(COUNTIF(Q105:Q146,"gut*")&gt;=1,"gut",P154)))</f>
        <v>mässig</v>
      </c>
      <c r="R154" s="34"/>
      <c r="S154" s="40" t="str">
        <f>IF(NOT(OR(COUNTIF(S109:S148,"FEHLER")&gt;=1,COUNTIF(S109:S148,"WERT?")&gt;=1)),IF(COUNTIF(S109:S148,"schlecht")&gt;=1,"schlecht",IF(COUNTIF(S109:S148,"mässig")&gt;=1,"mässig","gut")),"FEHLER")</f>
        <v>FEHLER</v>
      </c>
      <c r="T154" s="40" t="str">
        <f>IF(COUNTIF(T105:T146,"schlecht*")&gt;=1,"schlecht",IF(COUNTIF(T105:T146,"mässig*")&gt;=1,"mässig",IF(COUNTIF(T105:T146,"gut*")&gt;=1,"gut",S154)))</f>
        <v>FEHLER</v>
      </c>
      <c r="U154" s="34"/>
      <c r="V154" s="40" t="str">
        <f>IF(NOT(OR(COUNTIF(V109:V148,"FEHLER")&gt;=1,COUNTIF(V109:V148,"WERT?")&gt;=1)),IF(COUNTIF(V109:V148,"schlecht")&gt;=1,"schlecht",IF(COUNTIF(V109:V148,"mässig")&gt;=1,"mässig","gut")),"FEHLER")</f>
        <v>FEHLER</v>
      </c>
      <c r="W154" s="40" t="str">
        <f>IF(COUNTIF(W105:W146,"schlecht*")&gt;=1,"schlecht",IF(COUNTIF(W105:W146,"mässig*")&gt;=1,"mässig",IF(COUNTIF(W105:W146,"gut*")&gt;=1,"gut",V154)))</f>
        <v>FEHLER</v>
      </c>
      <c r="X154" s="34"/>
    </row>
    <row r="155" spans="2:24" ht="15" customHeight="1" x14ac:dyDescent="0.25">
      <c r="B155" s="5"/>
      <c r="C155" s="5"/>
      <c r="D155" s="5"/>
      <c r="E155" s="5"/>
      <c r="F155" s="327" t="s">
        <v>40</v>
      </c>
      <c r="G155" s="327"/>
      <c r="H155" s="183"/>
      <c r="I155" s="29"/>
      <c r="J155" s="40">
        <f>IF(J154="FEHLER","-",IF(J154="gut",3,IF(J154="mässig",2,1)))</f>
        <v>2</v>
      </c>
      <c r="K155" s="40">
        <f>IF(K154="FEHLER","-",IF(K154="gut",3,IF(K154="mässig",2,1)))</f>
        <v>2</v>
      </c>
      <c r="L155" s="34"/>
      <c r="M155" s="40">
        <f>IF(M154="FEHLER","-",IF(M154="gut",3,IF(M154="mässig",2,1)))</f>
        <v>3</v>
      </c>
      <c r="N155" s="40">
        <f>IF(N154="FEHLER","-",IF(N154="gut",3,IF(N154="mässig",2,1)))</f>
        <v>3</v>
      </c>
      <c r="O155" s="34"/>
      <c r="P155" s="40">
        <f>IF(P154="FEHLER","-",IF(P154="gut",3,IF(P154="mässig",2,1)))</f>
        <v>2</v>
      </c>
      <c r="Q155" s="40">
        <f>IF(Q154="FEHLER","-",IF(Q154="gut",3,IF(Q154="mässig",2,1)))</f>
        <v>2</v>
      </c>
      <c r="R155" s="34"/>
      <c r="S155" s="40" t="str">
        <f>IF(S154="FEHLER","-",IF(S154="gut",3,IF(S154="mässig",2,1)))</f>
        <v>-</v>
      </c>
      <c r="T155" s="40" t="str">
        <f>IF(T154="FEHLER","-",IF(T154="gut",3,IF(T154="mässig",2,1)))</f>
        <v>-</v>
      </c>
      <c r="U155" s="34"/>
      <c r="V155" s="40" t="str">
        <f>IF(V154="FEHLER","-",IF(V154="gut",3,IF(V154="mässig",2,1)))</f>
        <v>-</v>
      </c>
      <c r="W155" s="40" t="str">
        <f>IF(W154="FEHLER","-",IF(W154="gut",3,IF(W154="mässig",2,1)))</f>
        <v>-</v>
      </c>
      <c r="X155" s="34"/>
    </row>
    <row r="156" spans="2:24" ht="15" customHeight="1" x14ac:dyDescent="0.25">
      <c r="B156" s="5"/>
      <c r="C156" s="5"/>
      <c r="D156" s="5"/>
      <c r="E156" s="5"/>
      <c r="F156" s="29"/>
      <c r="G156" s="29"/>
      <c r="H156" s="29"/>
      <c r="I156" s="29"/>
      <c r="J156" s="29"/>
      <c r="K156" s="29"/>
      <c r="L156" s="29"/>
      <c r="M156" s="29"/>
      <c r="N156" s="29"/>
      <c r="O156" s="29"/>
      <c r="P156" s="29"/>
      <c r="Q156" s="29"/>
      <c r="R156" s="29"/>
      <c r="S156" s="29"/>
      <c r="T156" s="29"/>
      <c r="U156" s="29"/>
      <c r="V156" s="29"/>
      <c r="W156" s="34"/>
      <c r="X156" s="34"/>
    </row>
    <row r="157" spans="2:24" ht="15" customHeight="1" x14ac:dyDescent="0.25"/>
    <row r="158" spans="2:24" ht="15" customHeight="1" x14ac:dyDescent="0.25"/>
    <row r="159" spans="2:24" ht="15" customHeight="1" x14ac:dyDescent="0.25"/>
    <row r="160" spans="2:24" ht="15" customHeight="1" x14ac:dyDescent="0.25">
      <c r="B160" s="323" t="s">
        <v>389</v>
      </c>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row>
    <row r="161" spans="2:28" ht="15" customHeight="1" x14ac:dyDescent="0.25">
      <c r="B161" s="5"/>
      <c r="C161" s="5"/>
      <c r="D161" s="5"/>
      <c r="E161" s="5"/>
      <c r="F161" s="5"/>
      <c r="G161" s="5"/>
      <c r="H161" s="5"/>
      <c r="I161" s="5"/>
      <c r="J161" s="1"/>
      <c r="K161" s="1"/>
      <c r="L161" s="1"/>
      <c r="M161" s="1"/>
      <c r="N161" s="1"/>
      <c r="O161" s="1"/>
      <c r="P161" s="1"/>
      <c r="Q161" s="1"/>
      <c r="R161" s="1"/>
      <c r="S161" s="1"/>
      <c r="T161" s="1"/>
      <c r="U161" s="1"/>
      <c r="V161" s="1"/>
      <c r="W161" s="1"/>
      <c r="X161" s="1"/>
    </row>
    <row r="162" spans="2:28" ht="15" customHeight="1" x14ac:dyDescent="0.25">
      <c r="B162" s="5"/>
      <c r="C162" s="5"/>
      <c r="D162" s="5"/>
      <c r="E162" s="5"/>
      <c r="F162" s="5"/>
      <c r="G162" s="5"/>
      <c r="H162" s="5"/>
      <c r="I162" s="5"/>
      <c r="J162" s="1"/>
      <c r="K162" s="1"/>
      <c r="L162" s="1"/>
      <c r="M162" s="1"/>
      <c r="N162" s="1"/>
      <c r="O162" s="1"/>
      <c r="P162" s="1"/>
      <c r="Q162" s="1"/>
      <c r="R162" s="1"/>
      <c r="S162" s="1"/>
      <c r="T162" s="1"/>
      <c r="U162" s="1"/>
      <c r="V162" s="1"/>
      <c r="W162" s="1"/>
      <c r="X162" s="1"/>
    </row>
    <row r="163" spans="2:28" ht="15" customHeight="1" x14ac:dyDescent="0.25">
      <c r="B163" s="5"/>
      <c r="C163" s="266" t="s">
        <v>390</v>
      </c>
      <c r="D163" s="266"/>
      <c r="E163" s="266"/>
      <c r="F163" s="266"/>
      <c r="G163" s="45"/>
      <c r="H163" s="45"/>
      <c r="I163" s="28"/>
      <c r="J163" s="18"/>
      <c r="K163" s="18"/>
      <c r="L163" s="18"/>
      <c r="M163" s="18"/>
      <c r="N163" s="18"/>
      <c r="O163" s="18"/>
      <c r="P163" s="18"/>
      <c r="Q163" s="18"/>
      <c r="R163" s="18"/>
      <c r="S163" s="18"/>
      <c r="T163" s="18"/>
      <c r="U163" s="18"/>
      <c r="V163" s="18"/>
      <c r="W163" s="18"/>
      <c r="X163" s="18"/>
      <c r="Y163" s="2"/>
      <c r="Z163" s="2"/>
      <c r="AA163" s="2"/>
      <c r="AB163" s="2"/>
    </row>
    <row r="164" spans="2:28" ht="15" customHeight="1" x14ac:dyDescent="0.25">
      <c r="B164" s="5"/>
      <c r="C164" s="28"/>
      <c r="D164" s="347" t="s">
        <v>157</v>
      </c>
      <c r="E164" s="347"/>
      <c r="F164" s="347"/>
      <c r="G164" s="187"/>
      <c r="H164" s="181"/>
      <c r="I164" s="28"/>
      <c r="J164" s="18"/>
      <c r="K164" s="18"/>
      <c r="L164" s="18"/>
      <c r="M164" s="18"/>
      <c r="N164" s="18"/>
      <c r="O164" s="18"/>
      <c r="P164" s="55"/>
      <c r="Q164" s="55"/>
      <c r="R164" s="18"/>
      <c r="S164" s="18"/>
      <c r="T164" s="18"/>
      <c r="U164" s="18"/>
      <c r="V164" s="18"/>
      <c r="W164" s="18"/>
      <c r="X164" s="18"/>
      <c r="Y164" s="5"/>
      <c r="Z164" s="104"/>
      <c r="AA164" s="104"/>
      <c r="AB164" s="104"/>
    </row>
    <row r="165" spans="2:28" ht="15" customHeight="1" x14ac:dyDescent="0.25">
      <c r="B165" s="5"/>
      <c r="C165" s="28"/>
      <c r="D165" s="347"/>
      <c r="E165" s="347"/>
      <c r="F165" s="347"/>
      <c r="G165" s="187"/>
      <c r="H165" s="181"/>
      <c r="I165" s="28"/>
      <c r="J165" s="316" t="str">
        <f>IF(ISBLANK('(3) Variantenbewertung'!$I$11),"",'(3) Variantenbewertung'!$I$11)</f>
        <v>V1</v>
      </c>
      <c r="K165" s="316"/>
      <c r="L165" s="18"/>
      <c r="M165" s="316" t="str">
        <f>IF(ISBLANK('(3) Variantenbewertung'!$L$11),"",'(3) Variantenbewertung'!$L$11)</f>
        <v>V2</v>
      </c>
      <c r="N165" s="316"/>
      <c r="O165" s="18"/>
      <c r="P165" s="316" t="str">
        <f>IF(ISBLANK('(3) Variantenbewertung'!$O$11),"",'(3) Variantenbewertung'!$O$11)</f>
        <v>V3</v>
      </c>
      <c r="Q165" s="316"/>
      <c r="R165" s="18"/>
      <c r="S165" s="316" t="str">
        <f>IF(ISBLANK('(3) Variantenbewertung'!$R$11),"",'(3) Variantenbewertung'!$R$11)</f>
        <v/>
      </c>
      <c r="T165" s="316"/>
      <c r="U165" s="18"/>
      <c r="V165" s="316" t="str">
        <f>IF(ISBLANK('(3) Variantenbewertung'!$U$11),"",'(3) Variantenbewertung'!$U$11)</f>
        <v/>
      </c>
      <c r="W165" s="316"/>
      <c r="X165" s="17"/>
      <c r="Y165" s="5"/>
      <c r="Z165" s="104"/>
      <c r="AA165" s="104"/>
      <c r="AB165" s="104"/>
    </row>
    <row r="166" spans="2:28" ht="15" customHeight="1" x14ac:dyDescent="0.25">
      <c r="B166" s="5"/>
      <c r="C166" s="28"/>
      <c r="D166" s="28"/>
      <c r="E166" s="27"/>
      <c r="F166" s="27"/>
      <c r="G166" s="28"/>
      <c r="H166" s="28"/>
      <c r="I166" s="28"/>
      <c r="J166" s="125" t="s">
        <v>66</v>
      </c>
      <c r="K166" s="53" t="str">
        <f>IF($E$167="Nicht vorhanden","","Bitte begründen:")</f>
        <v>Bitte begründen:</v>
      </c>
      <c r="L166" s="17"/>
      <c r="M166" s="125" t="s">
        <v>66</v>
      </c>
      <c r="N166" s="53" t="str">
        <f>IF($E$167="Nicht vorhanden","","Bitte begründen:")</f>
        <v>Bitte begründen:</v>
      </c>
      <c r="O166" s="17"/>
      <c r="P166" s="125" t="s">
        <v>66</v>
      </c>
      <c r="Q166" s="53" t="str">
        <f>IF($E$167="Nicht vorhanden","","Bitte begründen:")</f>
        <v>Bitte begründen:</v>
      </c>
      <c r="R166" s="17"/>
      <c r="S166" s="125" t="s">
        <v>66</v>
      </c>
      <c r="T166" s="53" t="str">
        <f>IF($E$167="Nicht vorhanden","","Bitte begründen:")</f>
        <v>Bitte begründen:</v>
      </c>
      <c r="U166" s="17"/>
      <c r="V166" s="125" t="s">
        <v>66</v>
      </c>
      <c r="W166" s="53" t="str">
        <f>IF($E$167="Nicht vorhanden","","Bitte begründen:")</f>
        <v>Bitte begründen:</v>
      </c>
      <c r="X166" s="17"/>
      <c r="Y166" s="5"/>
      <c r="Z166" s="6"/>
      <c r="AA166" s="6"/>
      <c r="AB166" s="5"/>
    </row>
    <row r="167" spans="2:28" ht="15" customHeight="1" x14ac:dyDescent="0.25">
      <c r="B167" s="5"/>
      <c r="C167" s="28"/>
      <c r="D167" s="30"/>
      <c r="E167" s="298" t="s">
        <v>26</v>
      </c>
      <c r="F167" s="228"/>
      <c r="G167" s="28"/>
      <c r="H167" s="28"/>
      <c r="I167" s="28"/>
      <c r="J167" s="199" t="s">
        <v>178</v>
      </c>
      <c r="K167" s="318"/>
      <c r="L167" s="18"/>
      <c r="M167" s="199" t="s">
        <v>178</v>
      </c>
      <c r="N167" s="318"/>
      <c r="O167" s="18"/>
      <c r="P167" s="199" t="s">
        <v>178</v>
      </c>
      <c r="Q167" s="318"/>
      <c r="R167" s="20"/>
      <c r="S167" s="199"/>
      <c r="T167" s="318"/>
      <c r="U167" s="18"/>
      <c r="V167" s="199"/>
      <c r="W167" s="318"/>
      <c r="X167" s="18"/>
      <c r="Y167" s="5"/>
      <c r="Z167" s="6"/>
      <c r="AA167" s="6"/>
      <c r="AB167" s="5"/>
    </row>
    <row r="168" spans="2:28" ht="15" customHeight="1" x14ac:dyDescent="0.25">
      <c r="B168" s="5"/>
      <c r="C168" s="36"/>
      <c r="D168" s="35"/>
      <c r="E168" s="265" t="s">
        <v>151</v>
      </c>
      <c r="F168" s="265"/>
      <c r="G168" s="28"/>
      <c r="H168" s="28"/>
      <c r="I168" s="28"/>
      <c r="J168" s="99"/>
      <c r="K168" s="319"/>
      <c r="L168" s="18"/>
      <c r="M168" s="99"/>
      <c r="N168" s="319"/>
      <c r="O168" s="18"/>
      <c r="P168" s="99"/>
      <c r="Q168" s="319"/>
      <c r="R168" s="18"/>
      <c r="S168" s="99"/>
      <c r="T168" s="319"/>
      <c r="U168" s="18"/>
      <c r="V168" s="99"/>
      <c r="W168" s="319"/>
      <c r="X168" s="18"/>
      <c r="Y168" s="67"/>
      <c r="Z168" s="6"/>
      <c r="AA168" s="6"/>
      <c r="AB168" s="5"/>
    </row>
    <row r="169" spans="2:28" ht="15" customHeight="1" x14ac:dyDescent="0.25">
      <c r="B169" s="5"/>
      <c r="C169" s="28"/>
      <c r="D169" s="32"/>
      <c r="E169" s="265" t="s">
        <v>152</v>
      </c>
      <c r="F169" s="265"/>
      <c r="G169" s="28"/>
      <c r="H169" s="28"/>
      <c r="I169" s="28"/>
      <c r="J169" s="99"/>
      <c r="K169" s="320"/>
      <c r="L169" s="18"/>
      <c r="M169" s="99"/>
      <c r="N169" s="320"/>
      <c r="O169" s="18"/>
      <c r="P169" s="99"/>
      <c r="Q169" s="320"/>
      <c r="R169" s="18"/>
      <c r="S169" s="99"/>
      <c r="T169" s="320"/>
      <c r="U169" s="18"/>
      <c r="V169" s="99"/>
      <c r="W169" s="320"/>
      <c r="X169" s="18"/>
      <c r="Y169" s="5"/>
      <c r="Z169" s="6"/>
      <c r="AA169" s="6"/>
      <c r="AB169" s="5"/>
    </row>
    <row r="170" spans="2:28" ht="15" customHeight="1" x14ac:dyDescent="0.25">
      <c r="B170" s="5"/>
      <c r="C170" s="28"/>
      <c r="D170" s="28"/>
      <c r="E170" s="28"/>
      <c r="F170" s="28"/>
      <c r="G170" s="28"/>
      <c r="H170" s="28"/>
      <c r="I170" s="28"/>
      <c r="J170" s="25" t="str">
        <f>IF(COUNTIF(J$167:J$169,"x")&lt;&gt;1,"FEHLER",IF(J$167="x","gut",IF(J$168="x","mässig","schlecht")))</f>
        <v>gut</v>
      </c>
      <c r="K170" s="20"/>
      <c r="L170" s="18"/>
      <c r="M170" s="25" t="str">
        <f>IF(COUNTIF(M$167:M$169,"x")&lt;&gt;1,"FEHLER",IF(M$167="x","gut",IF(M$168="x","mässig","schlecht")))</f>
        <v>gut</v>
      </c>
      <c r="N170" s="20"/>
      <c r="O170" s="18"/>
      <c r="P170" s="25" t="str">
        <f>IF(COUNTIF(P$167:P$169,"x")&lt;&gt;1,"FEHLER",IF(P$167="x","gut",IF(P$168="x","mässig","schlecht")))</f>
        <v>gut</v>
      </c>
      <c r="Q170" s="20"/>
      <c r="R170" s="18"/>
      <c r="S170" s="25" t="str">
        <f>IF(COUNTIF(S$167:S$169,"x")&lt;&gt;1,"FEHLER",IF(S$167="x","gut",IF(S$168="x","mässig","schlecht")))</f>
        <v>FEHLER</v>
      </c>
      <c r="T170" s="20"/>
      <c r="U170" s="18"/>
      <c r="V170" s="25" t="str">
        <f>IF(COUNTIF(V$167:V$169,"x")&lt;&gt;1,"FEHLER",IF(V$167="x","gut",IF(V$168="x","mässig","schlecht")))</f>
        <v>FEHLER</v>
      </c>
      <c r="W170" s="20"/>
      <c r="X170" s="18"/>
    </row>
    <row r="171" spans="2:28" ht="15" customHeight="1" x14ac:dyDescent="0.25">
      <c r="B171" s="5"/>
      <c r="C171" s="28"/>
      <c r="D171" s="28"/>
      <c r="E171" s="28"/>
      <c r="F171" s="28"/>
      <c r="G171" s="28"/>
      <c r="H171" s="28"/>
      <c r="I171" s="28"/>
      <c r="J171" s="20"/>
      <c r="K171" s="20"/>
      <c r="L171" s="18"/>
      <c r="M171" s="20"/>
      <c r="N171" s="20"/>
      <c r="O171" s="18"/>
      <c r="P171" s="20"/>
      <c r="Q171" s="20"/>
      <c r="R171" s="18"/>
      <c r="S171" s="20"/>
      <c r="T171" s="20"/>
      <c r="U171" s="18"/>
      <c r="V171" s="20"/>
      <c r="W171" s="20"/>
      <c r="X171" s="18"/>
    </row>
    <row r="172" spans="2:28" ht="15" customHeight="1" x14ac:dyDescent="0.25">
      <c r="B172" s="5"/>
      <c r="C172" s="5"/>
      <c r="D172" s="5"/>
      <c r="E172" s="5"/>
      <c r="F172" s="5"/>
      <c r="G172" s="5"/>
      <c r="H172" s="5"/>
      <c r="I172" s="5"/>
      <c r="J172" s="3"/>
      <c r="K172" s="5"/>
      <c r="L172" s="1"/>
      <c r="M172" s="3"/>
      <c r="N172" s="3"/>
      <c r="O172" s="1"/>
      <c r="P172" s="3"/>
      <c r="Q172" s="3"/>
      <c r="R172" s="1"/>
      <c r="S172" s="3"/>
      <c r="T172" s="3"/>
      <c r="U172" s="1"/>
      <c r="V172" s="3"/>
      <c r="W172" s="3"/>
      <c r="X172" s="1"/>
    </row>
    <row r="173" spans="2:28" ht="15" customHeight="1" x14ac:dyDescent="0.25">
      <c r="B173" s="5"/>
      <c r="C173" s="5"/>
      <c r="D173" s="5"/>
      <c r="E173" s="5"/>
      <c r="F173" s="5"/>
      <c r="G173" s="5"/>
      <c r="H173" s="5"/>
      <c r="I173" s="5"/>
      <c r="J173" s="3"/>
      <c r="K173" s="3"/>
      <c r="L173" s="1"/>
      <c r="M173" s="3"/>
      <c r="N173" s="3"/>
      <c r="O173" s="1"/>
      <c r="P173" s="3"/>
      <c r="Q173" s="3"/>
      <c r="R173" s="1"/>
      <c r="S173" s="3"/>
      <c r="T173" s="3"/>
      <c r="U173" s="1"/>
      <c r="V173" s="3"/>
      <c r="W173" s="3"/>
      <c r="X173" s="1"/>
    </row>
    <row r="174" spans="2:28" ht="15" customHeight="1" x14ac:dyDescent="0.25">
      <c r="B174" s="5"/>
      <c r="C174" s="266" t="s">
        <v>391</v>
      </c>
      <c r="D174" s="266"/>
      <c r="E174" s="266"/>
      <c r="F174" s="266"/>
      <c r="G174" s="45"/>
      <c r="H174" s="45"/>
      <c r="I174" s="28"/>
      <c r="J174" s="18"/>
      <c r="K174" s="18"/>
      <c r="L174" s="18"/>
      <c r="M174" s="18"/>
      <c r="N174" s="18"/>
      <c r="O174" s="18"/>
      <c r="P174" s="18"/>
      <c r="Q174" s="18"/>
      <c r="R174" s="18"/>
      <c r="S174" s="18"/>
      <c r="T174" s="18"/>
      <c r="U174" s="18"/>
      <c r="V174" s="18"/>
      <c r="W174" s="18"/>
      <c r="X174" s="18"/>
      <c r="Y174" s="2"/>
      <c r="Z174" s="2"/>
      <c r="AA174" s="2"/>
      <c r="AB174" s="5"/>
    </row>
    <row r="175" spans="2:28" ht="15" customHeight="1" x14ac:dyDescent="0.25">
      <c r="B175" s="5"/>
      <c r="C175" s="28"/>
      <c r="D175" s="321" t="s">
        <v>158</v>
      </c>
      <c r="E175" s="321"/>
      <c r="F175" s="321"/>
      <c r="G175" s="321"/>
      <c r="H175" s="181"/>
      <c r="I175" s="28"/>
      <c r="J175" s="18"/>
      <c r="K175" s="18"/>
      <c r="L175" s="18"/>
      <c r="M175" s="18"/>
      <c r="N175" s="18"/>
      <c r="O175" s="18"/>
      <c r="P175" s="55"/>
      <c r="Q175" s="55"/>
      <c r="R175" s="18"/>
      <c r="S175" s="18"/>
      <c r="T175" s="18"/>
      <c r="U175" s="18"/>
      <c r="V175" s="18"/>
      <c r="W175" s="18"/>
      <c r="X175" s="18"/>
      <c r="Y175" s="5"/>
      <c r="Z175" s="104"/>
      <c r="AA175" s="104"/>
      <c r="AB175" s="104"/>
    </row>
    <row r="176" spans="2:28" ht="15" customHeight="1" x14ac:dyDescent="0.25">
      <c r="B176" s="5"/>
      <c r="C176" s="28"/>
      <c r="D176" s="321"/>
      <c r="E176" s="321"/>
      <c r="F176" s="321"/>
      <c r="G176" s="321"/>
      <c r="H176" s="181"/>
      <c r="I176" s="28"/>
      <c r="J176" s="316" t="str">
        <f>IF(ISBLANK('(3) Variantenbewertung'!$I$11),"",'(3) Variantenbewertung'!$I$11)</f>
        <v>V1</v>
      </c>
      <c r="K176" s="316"/>
      <c r="L176" s="18"/>
      <c r="M176" s="316" t="str">
        <f>IF(ISBLANK('(3) Variantenbewertung'!$L$11),"",'(3) Variantenbewertung'!$L$11)</f>
        <v>V2</v>
      </c>
      <c r="N176" s="316"/>
      <c r="O176" s="18"/>
      <c r="P176" s="316" t="str">
        <f>IF(ISBLANK('(3) Variantenbewertung'!$O$11),"",'(3) Variantenbewertung'!$O$11)</f>
        <v>V3</v>
      </c>
      <c r="Q176" s="316"/>
      <c r="R176" s="18"/>
      <c r="S176" s="316" t="str">
        <f>IF(ISBLANK('(3) Variantenbewertung'!$R$11),"",'(3) Variantenbewertung'!$R$11)</f>
        <v/>
      </c>
      <c r="T176" s="316"/>
      <c r="U176" s="18"/>
      <c r="V176" s="316" t="str">
        <f>IF(ISBLANK('(3) Variantenbewertung'!$U$11),"",'(3) Variantenbewertung'!$U$11)</f>
        <v/>
      </c>
      <c r="W176" s="316"/>
      <c r="X176" s="17"/>
      <c r="Y176" s="5"/>
      <c r="Z176" s="104"/>
      <c r="AA176" s="104"/>
      <c r="AB176" s="104"/>
    </row>
    <row r="177" spans="2:28" ht="15" customHeight="1" x14ac:dyDescent="0.25">
      <c r="B177" s="5"/>
      <c r="C177" s="28"/>
      <c r="D177" s="28"/>
      <c r="E177" s="27"/>
      <c r="F177" s="27"/>
      <c r="G177" s="28"/>
      <c r="H177" s="28"/>
      <c r="I177" s="28"/>
      <c r="J177" s="125" t="s">
        <v>66</v>
      </c>
      <c r="K177" s="53" t="str">
        <f>IF($E$178="Nicht vorhanden","","Bitte begründen:")</f>
        <v>Bitte begründen:</v>
      </c>
      <c r="L177" s="17"/>
      <c r="M177" s="125" t="s">
        <v>66</v>
      </c>
      <c r="N177" s="53" t="str">
        <f>IF($E$178="Nicht vorhanden","","Bitte begründen:")</f>
        <v>Bitte begründen:</v>
      </c>
      <c r="O177" s="17"/>
      <c r="P177" s="125" t="s">
        <v>66</v>
      </c>
      <c r="Q177" s="53" t="str">
        <f>IF($E$178="Nicht vorhanden","","Bitte begründen:")</f>
        <v>Bitte begründen:</v>
      </c>
      <c r="R177" s="17"/>
      <c r="S177" s="125" t="s">
        <v>66</v>
      </c>
      <c r="T177" s="53" t="str">
        <f>IF($E$178="Nicht vorhanden","","Bitte begründen:")</f>
        <v>Bitte begründen:</v>
      </c>
      <c r="U177" s="17"/>
      <c r="V177" s="125" t="s">
        <v>66</v>
      </c>
      <c r="W177" s="53" t="str">
        <f>IF($E$178="Nicht vorhanden","","Bitte begründen:")</f>
        <v>Bitte begründen:</v>
      </c>
      <c r="X177" s="17"/>
      <c r="Y177" s="5"/>
      <c r="Z177" s="6"/>
      <c r="AA177" s="6"/>
      <c r="AB177" s="5"/>
    </row>
    <row r="178" spans="2:28" ht="15" customHeight="1" x14ac:dyDescent="0.25">
      <c r="B178" s="5"/>
      <c r="C178" s="28"/>
      <c r="D178" s="30"/>
      <c r="E178" s="298" t="s">
        <v>297</v>
      </c>
      <c r="F178" s="228"/>
      <c r="G178" s="28"/>
      <c r="H178" s="28"/>
      <c r="I178" s="28"/>
      <c r="J178" s="199" t="s">
        <v>178</v>
      </c>
      <c r="K178" s="318"/>
      <c r="L178" s="18"/>
      <c r="M178" s="199" t="s">
        <v>178</v>
      </c>
      <c r="N178" s="318"/>
      <c r="O178" s="18"/>
      <c r="P178" s="199" t="s">
        <v>178</v>
      </c>
      <c r="Q178" s="318"/>
      <c r="R178" s="20"/>
      <c r="S178" s="199"/>
      <c r="T178" s="318"/>
      <c r="U178" s="18"/>
      <c r="V178" s="199"/>
      <c r="W178" s="318"/>
      <c r="X178" s="18"/>
      <c r="Y178" s="5"/>
      <c r="Z178" s="6"/>
      <c r="AA178" s="6"/>
      <c r="AB178" s="5"/>
    </row>
    <row r="179" spans="2:28" ht="15" customHeight="1" x14ac:dyDescent="0.25">
      <c r="B179" s="5"/>
      <c r="C179" s="36"/>
      <c r="D179" s="35"/>
      <c r="E179" s="265" t="s">
        <v>71</v>
      </c>
      <c r="F179" s="265"/>
      <c r="G179" s="28"/>
      <c r="H179" s="28"/>
      <c r="I179" s="28"/>
      <c r="J179" s="99"/>
      <c r="K179" s="319"/>
      <c r="L179" s="18"/>
      <c r="M179" s="99"/>
      <c r="N179" s="319"/>
      <c r="O179" s="18"/>
      <c r="P179" s="99"/>
      <c r="Q179" s="319"/>
      <c r="R179" s="18"/>
      <c r="S179" s="99"/>
      <c r="T179" s="319"/>
      <c r="U179" s="18"/>
      <c r="V179" s="99"/>
      <c r="W179" s="319"/>
      <c r="X179" s="18"/>
      <c r="Y179" s="67"/>
      <c r="Z179" s="6"/>
      <c r="AA179" s="6"/>
      <c r="AB179" s="5"/>
    </row>
    <row r="180" spans="2:28" ht="15" customHeight="1" x14ac:dyDescent="0.25">
      <c r="B180" s="5"/>
      <c r="C180" s="28"/>
      <c r="D180" s="32"/>
      <c r="E180" s="265" t="s">
        <v>47</v>
      </c>
      <c r="F180" s="265"/>
      <c r="G180" s="28"/>
      <c r="H180" s="28"/>
      <c r="I180" s="28"/>
      <c r="J180" s="99"/>
      <c r="K180" s="320"/>
      <c r="L180" s="18"/>
      <c r="M180" s="99"/>
      <c r="N180" s="320"/>
      <c r="O180" s="18"/>
      <c r="P180" s="99"/>
      <c r="Q180" s="320"/>
      <c r="R180" s="18"/>
      <c r="S180" s="99"/>
      <c r="T180" s="320"/>
      <c r="U180" s="18"/>
      <c r="V180" s="99"/>
      <c r="W180" s="320"/>
      <c r="X180" s="18"/>
      <c r="Y180" s="5"/>
      <c r="Z180" s="6"/>
      <c r="AA180" s="6"/>
      <c r="AB180" s="5"/>
    </row>
    <row r="181" spans="2:28" ht="15" customHeight="1" x14ac:dyDescent="0.25">
      <c r="B181" s="5"/>
      <c r="C181" s="28"/>
      <c r="D181" s="28"/>
      <c r="E181" s="28"/>
      <c r="F181" s="28"/>
      <c r="G181" s="28"/>
      <c r="H181" s="28"/>
      <c r="I181" s="28"/>
      <c r="J181" s="25" t="str">
        <f>IF(COUNTIF(J$178:J$180,"x")&lt;&gt;1,"FEHLER",IF(J$178="x","gut",IF(J$179="x","mässig","schlecht")))</f>
        <v>gut</v>
      </c>
      <c r="K181" s="20"/>
      <c r="L181" s="18"/>
      <c r="M181" s="25" t="str">
        <f>IF(COUNTIF(M$178:M$180,"x")&lt;&gt;1,"FEHLER",IF(M$178="x","gut",IF(M$179="x","mässig","schlecht")))</f>
        <v>gut</v>
      </c>
      <c r="N181" s="20"/>
      <c r="O181" s="18"/>
      <c r="P181" s="25" t="str">
        <f>IF(COUNTIF(P$178:P$180,"x")&lt;&gt;1,"FEHLER",IF(P$178="x","gut",IF(P$179="x","mässig","schlecht")))</f>
        <v>gut</v>
      </c>
      <c r="Q181" s="20"/>
      <c r="R181" s="18"/>
      <c r="S181" s="25" t="str">
        <f>IF(COUNTIF(S$178:S$180,"x")&lt;&gt;1,"FEHLER",IF(S$178="x","gut",IF(S$179="x","mässig","schlecht")))</f>
        <v>FEHLER</v>
      </c>
      <c r="T181" s="20"/>
      <c r="U181" s="18"/>
      <c r="V181" s="25" t="str">
        <f>IF(COUNTIF(V$178:V$180,"x")&lt;&gt;1,"FEHLER",IF(V$178="x","gut",IF(V$179="x","mässig","schlecht")))</f>
        <v>FEHLER</v>
      </c>
      <c r="W181" s="20"/>
      <c r="X181" s="18"/>
    </row>
    <row r="182" spans="2:28" ht="15" customHeight="1" x14ac:dyDescent="0.25">
      <c r="B182" s="5"/>
      <c r="C182" s="28"/>
      <c r="D182" s="28"/>
      <c r="E182" s="28"/>
      <c r="F182" s="28"/>
      <c r="G182" s="28"/>
      <c r="H182" s="28"/>
      <c r="I182" s="28"/>
      <c r="J182" s="20"/>
      <c r="K182" s="20"/>
      <c r="L182" s="18"/>
      <c r="M182" s="20"/>
      <c r="N182" s="20"/>
      <c r="O182" s="18"/>
      <c r="P182" s="20"/>
      <c r="Q182" s="20"/>
      <c r="R182" s="18"/>
      <c r="S182" s="20"/>
      <c r="T182" s="20"/>
      <c r="U182" s="18"/>
      <c r="V182" s="20"/>
      <c r="W182" s="20"/>
      <c r="X182" s="18"/>
    </row>
    <row r="183" spans="2:28" ht="15" customHeight="1" x14ac:dyDescent="0.25"/>
    <row r="184" spans="2:28" ht="15" customHeight="1" x14ac:dyDescent="0.25"/>
    <row r="185" spans="2:28" ht="15" customHeight="1" x14ac:dyDescent="0.25"/>
    <row r="186" spans="2:28" ht="15" customHeight="1" x14ac:dyDescent="0.25">
      <c r="B186" s="5"/>
      <c r="C186" s="5"/>
      <c r="D186" s="5"/>
      <c r="E186" s="5"/>
      <c r="F186" s="29"/>
      <c r="G186" s="29"/>
      <c r="H186" s="29"/>
      <c r="I186" s="29"/>
      <c r="J186" s="34"/>
      <c r="K186" s="34"/>
      <c r="L186" s="34"/>
      <c r="M186" s="34"/>
      <c r="N186" s="34"/>
      <c r="O186" s="34"/>
      <c r="P186" s="81"/>
      <c r="Q186" s="81"/>
      <c r="R186" s="34"/>
      <c r="S186" s="34"/>
      <c r="T186" s="34"/>
      <c r="U186" s="34"/>
      <c r="V186" s="34"/>
      <c r="W186" s="34"/>
      <c r="X186" s="34"/>
    </row>
    <row r="187" spans="2:28" ht="15" customHeight="1" x14ac:dyDescent="0.25">
      <c r="B187" s="5"/>
      <c r="C187" s="5"/>
      <c r="D187" s="5"/>
      <c r="E187" s="5"/>
      <c r="F187" s="29"/>
      <c r="G187" s="29"/>
      <c r="H187" s="29"/>
      <c r="I187" s="29"/>
      <c r="J187" s="349" t="str">
        <f>IF(ISBLANK('(3) Variantenbewertung'!$I$11),"",'(3) Variantenbewertung'!$I$11)</f>
        <v>V1</v>
      </c>
      <c r="K187" s="349"/>
      <c r="L187" s="34"/>
      <c r="M187" s="349" t="str">
        <f>IF(ISBLANK('(3) Variantenbewertung'!$L$11),"",'(3) Variantenbewertung'!$L$11)</f>
        <v>V2</v>
      </c>
      <c r="N187" s="349"/>
      <c r="O187" s="34"/>
      <c r="P187" s="349" t="str">
        <f>IF(ISBLANK('(3) Variantenbewertung'!$O$11),"",'(3) Variantenbewertung'!$O$11)</f>
        <v>V3</v>
      </c>
      <c r="Q187" s="349"/>
      <c r="R187" s="34"/>
      <c r="S187" s="349" t="str">
        <f>IF(ISBLANK('(3) Variantenbewertung'!$R$11),"",'(3) Variantenbewertung'!$R$11)</f>
        <v/>
      </c>
      <c r="T187" s="349"/>
      <c r="U187" s="34"/>
      <c r="V187" s="349" t="str">
        <f>IF(ISBLANK('(3) Variantenbewertung'!$U$11),"",'(3) Variantenbewertung'!$U$11)</f>
        <v/>
      </c>
      <c r="W187" s="349"/>
      <c r="X187" s="24"/>
    </row>
    <row r="188" spans="2:28" ht="15" customHeight="1" x14ac:dyDescent="0.25">
      <c r="B188" s="5"/>
      <c r="C188" s="5"/>
      <c r="D188" s="5"/>
      <c r="E188" s="5"/>
      <c r="F188" s="328" t="s">
        <v>392</v>
      </c>
      <c r="G188" s="328"/>
      <c r="H188" s="21"/>
      <c r="I188" s="29"/>
      <c r="J188" s="350" t="str">
        <f>IF(NOT(OR(COUNTIF(J166:J183,"FEHLER")&gt;=1,COUNTIF(J166:J183,"WERT?")&gt;=1)),IF(COUNTIF(J166:J183,"schlecht")&gt;=1,"schlecht",IF(COUNTIF(J166:J183,"mässig")&gt;=1,"mässig","gut")),"FEHLER")</f>
        <v>gut</v>
      </c>
      <c r="K188" s="350"/>
      <c r="L188" s="34"/>
      <c r="M188" s="350" t="str">
        <f>IF(NOT(OR(COUNTIF(M166:M183,"FEHLER")&gt;=1,COUNTIF(M166:M183,"WERT?")&gt;=1)),IF(COUNTIF(M166:M183,"schlecht")&gt;=1,"schlecht",IF(COUNTIF(M166:M183,"mässig")&gt;=1,"mässig","gut")),"FEHLER")</f>
        <v>gut</v>
      </c>
      <c r="N188" s="350"/>
      <c r="O188" s="34"/>
      <c r="P188" s="350" t="str">
        <f>IF(NOT(OR(COUNTIF(P166:P183,"FEHLER")&gt;=1,COUNTIF(P166:P183,"WERT?")&gt;=1)),IF(COUNTIF(P166:P183,"schlecht")&gt;=1,"schlecht",IF(COUNTIF(P166:P183,"mässig")&gt;=1,"mässig","gut")),"FEHLER")</f>
        <v>gut</v>
      </c>
      <c r="Q188" s="350"/>
      <c r="R188" s="34"/>
      <c r="S188" s="350" t="str">
        <f>IF(NOT(OR(COUNTIF(S166:S183,"FEHLER")&gt;=1,COUNTIF(S166:S183,"WERT?")&gt;=1)),IF(COUNTIF(S166:S183,"schlecht")&gt;=1,"schlecht",IF(COUNTIF(S166:S183,"mässig")&gt;=1,"mässig","gut")),"FEHLER")</f>
        <v>FEHLER</v>
      </c>
      <c r="T188" s="350"/>
      <c r="U188" s="34"/>
      <c r="V188" s="350" t="str">
        <f>IF(NOT(OR(COUNTIF(V166:V183,"FEHLER")&gt;=1,COUNTIF(V166:V183,"WERT?")&gt;=1)),IF(COUNTIF(V166:V183,"schlecht")&gt;=1,"schlecht",IF(COUNTIF(V166:V183,"mässig")&gt;=1,"mässig","gut")),"FEHLER")</f>
        <v>FEHLER</v>
      </c>
      <c r="W188" s="350"/>
      <c r="X188" s="34"/>
    </row>
    <row r="189" spans="2:28" ht="15" customHeight="1" x14ac:dyDescent="0.25">
      <c r="B189" s="5"/>
      <c r="C189" s="5"/>
      <c r="D189" s="5"/>
      <c r="E189" s="5"/>
      <c r="F189" s="327" t="s">
        <v>40</v>
      </c>
      <c r="G189" s="327"/>
      <c r="H189" s="183"/>
      <c r="I189" s="29"/>
      <c r="J189" s="350">
        <f>IF(J188="FEHLER","-",IF(J188="gut",3,IF(J188="mässig",2,1)))</f>
        <v>3</v>
      </c>
      <c r="K189" s="350"/>
      <c r="L189" s="34"/>
      <c r="M189" s="350">
        <f>IF(M188="FEHLER","-",IF(M188="gut",3,IF(M188="mässig",2,1)))</f>
        <v>3</v>
      </c>
      <c r="N189" s="350"/>
      <c r="O189" s="34"/>
      <c r="P189" s="350">
        <f>IF(P188="FEHLER","-",IF(P188="gut",3,IF(P188="mässig",2,1)))</f>
        <v>3</v>
      </c>
      <c r="Q189" s="350"/>
      <c r="R189" s="34"/>
      <c r="S189" s="350" t="str">
        <f>IF(S188="FEHLER","-",IF(S188="gut",3,IF(S188="mässig",2,1)))</f>
        <v>-</v>
      </c>
      <c r="T189" s="350"/>
      <c r="U189" s="34"/>
      <c r="V189" s="350" t="str">
        <f>IF(V188="FEHLER","-",IF(V188="gut",3,IF(V188="mässig",2,1)))</f>
        <v>-</v>
      </c>
      <c r="W189" s="350"/>
      <c r="X189" s="34"/>
    </row>
    <row r="190" spans="2:28" ht="15" customHeight="1" x14ac:dyDescent="0.25">
      <c r="B190" s="5"/>
      <c r="C190" s="5"/>
      <c r="D190" s="5"/>
      <c r="E190" s="5"/>
      <c r="F190" s="29"/>
      <c r="G190" s="29"/>
      <c r="H190" s="29"/>
      <c r="I190" s="29"/>
      <c r="J190" s="29"/>
      <c r="K190" s="29"/>
      <c r="L190" s="29"/>
      <c r="M190" s="29"/>
      <c r="N190" s="29"/>
      <c r="O190" s="29"/>
      <c r="P190" s="29"/>
      <c r="Q190" s="29"/>
      <c r="R190" s="29"/>
      <c r="S190" s="29"/>
      <c r="T190" s="29"/>
      <c r="U190" s="29"/>
      <c r="V190" s="29"/>
      <c r="W190" s="34"/>
      <c r="X190" s="34"/>
    </row>
    <row r="191" spans="2:28" ht="15" customHeight="1" x14ac:dyDescent="0.25"/>
    <row r="192" spans="2:28" ht="15" customHeight="1" x14ac:dyDescent="0.25"/>
    <row r="193" spans="2:28" ht="15" customHeight="1" x14ac:dyDescent="0.25"/>
    <row r="194" spans="2:28" ht="15" customHeight="1" x14ac:dyDescent="0.25">
      <c r="B194" s="323" t="s">
        <v>393</v>
      </c>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row>
    <row r="195" spans="2:28" ht="15" customHeight="1" x14ac:dyDescent="0.25">
      <c r="B195" s="5"/>
      <c r="C195" s="5"/>
      <c r="D195" s="5"/>
      <c r="E195" s="5"/>
      <c r="F195" s="5"/>
      <c r="G195" s="5"/>
      <c r="H195" s="5"/>
      <c r="I195" s="5"/>
      <c r="J195" s="1"/>
      <c r="K195" s="1"/>
      <c r="L195" s="1"/>
      <c r="M195" s="1"/>
      <c r="N195" s="1"/>
      <c r="O195" s="1"/>
      <c r="P195" s="1"/>
      <c r="Q195" s="1"/>
      <c r="R195" s="1"/>
      <c r="S195" s="1"/>
      <c r="T195" s="1"/>
      <c r="U195" s="1"/>
      <c r="V195" s="1"/>
      <c r="W195" s="1"/>
      <c r="X195" s="1"/>
    </row>
    <row r="196" spans="2:28" ht="15" customHeight="1" x14ac:dyDescent="0.25">
      <c r="B196" s="5"/>
      <c r="C196" s="5"/>
      <c r="D196" s="5"/>
      <c r="E196" s="5"/>
      <c r="F196" s="5"/>
      <c r="G196" s="5"/>
      <c r="H196" s="5"/>
      <c r="I196" s="5"/>
      <c r="J196" s="1"/>
      <c r="K196" s="1"/>
      <c r="L196" s="1"/>
      <c r="M196" s="1"/>
      <c r="N196" s="1"/>
      <c r="O196" s="1"/>
      <c r="P196" s="1"/>
      <c r="Q196" s="1"/>
      <c r="R196" s="1"/>
      <c r="S196" s="1"/>
      <c r="T196" s="1"/>
      <c r="U196" s="1"/>
      <c r="V196" s="1"/>
      <c r="W196" s="1"/>
      <c r="X196" s="1"/>
    </row>
    <row r="197" spans="2:28" ht="15" customHeight="1" x14ac:dyDescent="0.25">
      <c r="B197" s="5"/>
      <c r="C197" s="266" t="s">
        <v>394</v>
      </c>
      <c r="D197" s="266"/>
      <c r="E197" s="266"/>
      <c r="F197" s="266"/>
      <c r="G197" s="266"/>
      <c r="H197" s="45"/>
      <c r="I197" s="28"/>
      <c r="J197" s="18"/>
      <c r="K197" s="18"/>
      <c r="L197" s="18"/>
      <c r="M197" s="18"/>
      <c r="N197" s="18"/>
      <c r="O197" s="18"/>
      <c r="P197" s="18"/>
      <c r="Q197" s="18"/>
      <c r="R197" s="18"/>
      <c r="S197" s="18"/>
      <c r="T197" s="18"/>
      <c r="U197" s="18"/>
      <c r="V197" s="18"/>
      <c r="W197" s="18"/>
      <c r="X197" s="18"/>
    </row>
    <row r="198" spans="2:28" ht="15" customHeight="1" x14ac:dyDescent="0.25">
      <c r="B198" s="5"/>
      <c r="C198" s="28"/>
      <c r="D198" s="347" t="s">
        <v>159</v>
      </c>
      <c r="E198" s="347"/>
      <c r="F198" s="347"/>
      <c r="G198" s="187"/>
      <c r="H198" s="181"/>
      <c r="I198" s="28"/>
      <c r="J198" s="18"/>
      <c r="K198" s="18"/>
      <c r="L198" s="18"/>
      <c r="M198" s="18"/>
      <c r="N198" s="18"/>
      <c r="O198" s="18"/>
      <c r="P198" s="55"/>
      <c r="Q198" s="55"/>
      <c r="R198" s="18"/>
      <c r="S198" s="18"/>
      <c r="T198" s="18"/>
      <c r="U198" s="18"/>
      <c r="V198" s="18"/>
      <c r="W198" s="18"/>
      <c r="X198" s="18"/>
      <c r="Y198" s="5"/>
    </row>
    <row r="199" spans="2:28" ht="15" customHeight="1" x14ac:dyDescent="0.25">
      <c r="B199" s="5"/>
      <c r="C199" s="28"/>
      <c r="D199" s="347"/>
      <c r="E199" s="347"/>
      <c r="F199" s="347"/>
      <c r="G199" s="187"/>
      <c r="H199" s="181"/>
      <c r="I199" s="28"/>
      <c r="J199" s="316" t="str">
        <f>IF(ISBLANK('(3) Variantenbewertung'!$I$11),"",'(3) Variantenbewertung'!$I$11)</f>
        <v>V1</v>
      </c>
      <c r="K199" s="316"/>
      <c r="L199" s="18"/>
      <c r="M199" s="316" t="str">
        <f>IF(ISBLANK('(3) Variantenbewertung'!$L$11),"",'(3) Variantenbewertung'!$L$11)</f>
        <v>V2</v>
      </c>
      <c r="N199" s="316"/>
      <c r="O199" s="18"/>
      <c r="P199" s="316" t="str">
        <f>IF(ISBLANK('(3) Variantenbewertung'!$O$11),"",'(3) Variantenbewertung'!$O$11)</f>
        <v>V3</v>
      </c>
      <c r="Q199" s="316"/>
      <c r="R199" s="18"/>
      <c r="S199" s="316" t="str">
        <f>IF(ISBLANK('(3) Variantenbewertung'!$R$11),"",'(3) Variantenbewertung'!$R$11)</f>
        <v/>
      </c>
      <c r="T199" s="316"/>
      <c r="U199" s="18"/>
      <c r="V199" s="316" t="str">
        <f>IF(ISBLANK('(3) Variantenbewertung'!$U$11),"",'(3) Variantenbewertung'!$U$11)</f>
        <v/>
      </c>
      <c r="W199" s="316"/>
      <c r="X199" s="17"/>
      <c r="Y199" s="5"/>
    </row>
    <row r="200" spans="2:28" ht="15" customHeight="1" x14ac:dyDescent="0.25">
      <c r="B200" s="5"/>
      <c r="C200" s="28"/>
      <c r="D200" s="28"/>
      <c r="E200" s="27"/>
      <c r="F200" s="27"/>
      <c r="G200" s="28"/>
      <c r="H200" s="28"/>
      <c r="I200" s="28"/>
      <c r="J200" s="125" t="s">
        <v>66</v>
      </c>
      <c r="K200" s="53" t="str">
        <f>IF($E$201="Nicht vorhanden","","Bitte begründen:")</f>
        <v>Bitte begründen:</v>
      </c>
      <c r="L200" s="17"/>
      <c r="M200" s="125" t="s">
        <v>66</v>
      </c>
      <c r="N200" s="53" t="str">
        <f>IF($E$201="Nicht vorhanden","","Bitte begründen:")</f>
        <v>Bitte begründen:</v>
      </c>
      <c r="O200" s="17"/>
      <c r="P200" s="125" t="s">
        <v>66</v>
      </c>
      <c r="Q200" s="53" t="str">
        <f>IF($E$201="Nicht vorhanden","","Bitte begründen:")</f>
        <v>Bitte begründen:</v>
      </c>
      <c r="R200" s="17"/>
      <c r="S200" s="125" t="s">
        <v>66</v>
      </c>
      <c r="T200" s="53" t="str">
        <f>IF($E$201="Nicht vorhanden","","Bitte begründen:")</f>
        <v>Bitte begründen:</v>
      </c>
      <c r="U200" s="17"/>
      <c r="V200" s="125" t="s">
        <v>66</v>
      </c>
      <c r="W200" s="53" t="str">
        <f>IF($E$201="Nicht vorhanden","","Bitte begründen:")</f>
        <v>Bitte begründen:</v>
      </c>
      <c r="X200" s="17"/>
      <c r="Y200" s="5"/>
      <c r="Z200" s="6"/>
      <c r="AA200" s="6"/>
      <c r="AB200" s="5"/>
    </row>
    <row r="201" spans="2:28" ht="15" customHeight="1" x14ac:dyDescent="0.25">
      <c r="B201" s="5"/>
      <c r="C201" s="28"/>
      <c r="D201" s="30"/>
      <c r="E201" s="298" t="s">
        <v>153</v>
      </c>
      <c r="F201" s="228"/>
      <c r="G201" s="28"/>
      <c r="H201" s="28"/>
      <c r="I201" s="28"/>
      <c r="J201" s="199" t="s">
        <v>178</v>
      </c>
      <c r="K201" s="318"/>
      <c r="L201" s="18"/>
      <c r="M201" s="199" t="s">
        <v>178</v>
      </c>
      <c r="N201" s="318"/>
      <c r="O201" s="18"/>
      <c r="P201" s="199"/>
      <c r="Q201" s="318"/>
      <c r="R201" s="20"/>
      <c r="S201" s="199"/>
      <c r="T201" s="318"/>
      <c r="U201" s="18"/>
      <c r="V201" s="199"/>
      <c r="W201" s="318"/>
      <c r="X201" s="18"/>
      <c r="Y201" s="5"/>
      <c r="Z201" s="6"/>
      <c r="AA201" s="6"/>
      <c r="AB201" s="5"/>
    </row>
    <row r="202" spans="2:28" ht="15" customHeight="1" x14ac:dyDescent="0.25">
      <c r="B202" s="5"/>
      <c r="C202" s="36"/>
      <c r="D202" s="35"/>
      <c r="E202" s="265" t="s">
        <v>46</v>
      </c>
      <c r="F202" s="265"/>
      <c r="G202" s="28"/>
      <c r="H202" s="28"/>
      <c r="I202" s="28"/>
      <c r="J202" s="99"/>
      <c r="K202" s="319"/>
      <c r="L202" s="18"/>
      <c r="M202" s="99"/>
      <c r="N202" s="319"/>
      <c r="O202" s="18"/>
      <c r="P202" s="99" t="s">
        <v>178</v>
      </c>
      <c r="Q202" s="319"/>
      <c r="R202" s="18"/>
      <c r="S202" s="99"/>
      <c r="T202" s="319"/>
      <c r="U202" s="18"/>
      <c r="V202" s="99"/>
      <c r="W202" s="319"/>
      <c r="X202" s="18"/>
      <c r="Y202" s="67"/>
      <c r="Z202" s="6"/>
      <c r="AA202" s="6"/>
      <c r="AB202" s="5"/>
    </row>
    <row r="203" spans="2:28" ht="15" customHeight="1" x14ac:dyDescent="0.25">
      <c r="B203" s="5"/>
      <c r="C203" s="28"/>
      <c r="D203" s="32"/>
      <c r="E203" s="265" t="s">
        <v>154</v>
      </c>
      <c r="F203" s="265"/>
      <c r="G203" s="28"/>
      <c r="H203" s="28"/>
      <c r="I203" s="28"/>
      <c r="J203" s="99"/>
      <c r="K203" s="320"/>
      <c r="L203" s="18"/>
      <c r="M203" s="99"/>
      <c r="N203" s="320"/>
      <c r="O203" s="18"/>
      <c r="P203" s="99"/>
      <c r="Q203" s="320"/>
      <c r="R203" s="18"/>
      <c r="S203" s="99"/>
      <c r="T203" s="320"/>
      <c r="U203" s="18"/>
      <c r="V203" s="99"/>
      <c r="W203" s="320"/>
      <c r="X203" s="18"/>
      <c r="Y203" s="5"/>
      <c r="Z203" s="6"/>
      <c r="AA203" s="6"/>
      <c r="AB203" s="5"/>
    </row>
    <row r="204" spans="2:28" ht="15" customHeight="1" x14ac:dyDescent="0.25">
      <c r="B204" s="5"/>
      <c r="C204" s="28"/>
      <c r="D204" s="28"/>
      <c r="E204" s="28"/>
      <c r="F204" s="28"/>
      <c r="G204" s="28"/>
      <c r="H204" s="28"/>
      <c r="I204" s="28"/>
      <c r="J204" s="25" t="str">
        <f>IF(COUNTIF(J$201:J$203,"x")&lt;&gt;1,"FEHLER",IF(J$201="x","gut",IF(J$202="x","mässig","schlecht")))</f>
        <v>gut</v>
      </c>
      <c r="K204" s="83"/>
      <c r="L204" s="18"/>
      <c r="M204" s="25" t="str">
        <f>IF(COUNTIF(M$201:M$203,"x")&lt;&gt;1,"FEHLER",IF(M$201="x","gut",IF(M$202="x","mässig","schlecht")))</f>
        <v>gut</v>
      </c>
      <c r="N204" s="83"/>
      <c r="O204" s="18"/>
      <c r="P204" s="25" t="str">
        <f>IF(COUNTIF(P$201:P$203,"x")&lt;&gt;1,"FEHLER",IF(P$201="x","gut",IF(P$202="x","mässig","schlecht")))</f>
        <v>mässig</v>
      </c>
      <c r="Q204" s="83"/>
      <c r="R204" s="18"/>
      <c r="S204" s="25" t="str">
        <f>IF(COUNTIF(S$201:S$203,"x")&lt;&gt;1,"FEHLER",IF(S$201="x","gut",IF(S$202="x","mässig","schlecht")))</f>
        <v>FEHLER</v>
      </c>
      <c r="T204" s="83"/>
      <c r="U204" s="18"/>
      <c r="V204" s="25" t="str">
        <f>IF(COUNTIF(V$201:V$203,"x")&lt;&gt;1,"FEHLER",IF(V$201="x","gut",IF(V$202="x","mässig","schlecht")))</f>
        <v>FEHLER</v>
      </c>
      <c r="W204" s="83"/>
      <c r="X204" s="18"/>
    </row>
    <row r="205" spans="2:28" ht="15" customHeight="1" x14ac:dyDescent="0.25">
      <c r="B205" s="5"/>
      <c r="C205" s="28"/>
      <c r="D205" s="28"/>
      <c r="E205" s="28"/>
      <c r="F205" s="28"/>
      <c r="G205" s="28"/>
      <c r="H205" s="28"/>
      <c r="I205" s="28"/>
      <c r="J205" s="20"/>
      <c r="K205" s="20"/>
      <c r="L205" s="18"/>
      <c r="M205" s="20"/>
      <c r="N205" s="20"/>
      <c r="O205" s="18"/>
      <c r="P205" s="20"/>
      <c r="Q205" s="20"/>
      <c r="R205" s="18"/>
      <c r="S205" s="20"/>
      <c r="T205" s="20"/>
      <c r="U205" s="18"/>
      <c r="V205" s="20"/>
      <c r="W205" s="20"/>
      <c r="X205" s="18"/>
    </row>
    <row r="206" spans="2:28" ht="15" customHeight="1" x14ac:dyDescent="0.25">
      <c r="B206" s="5"/>
      <c r="C206" s="5"/>
      <c r="D206" s="5"/>
      <c r="E206" s="5"/>
      <c r="F206" s="5"/>
      <c r="G206" s="5"/>
      <c r="H206" s="5"/>
      <c r="I206" s="5"/>
      <c r="J206" s="3"/>
      <c r="K206" s="5"/>
      <c r="L206" s="1"/>
      <c r="M206" s="3"/>
      <c r="N206" s="3"/>
      <c r="O206" s="1"/>
      <c r="P206" s="3"/>
      <c r="Q206" s="3"/>
      <c r="R206" s="1"/>
      <c r="S206" s="3"/>
      <c r="T206" s="3"/>
      <c r="U206" s="1"/>
      <c r="V206" s="3"/>
      <c r="W206" s="3"/>
      <c r="X206" s="1"/>
    </row>
    <row r="207" spans="2:28" ht="15" customHeight="1" x14ac:dyDescent="0.25">
      <c r="B207" s="5"/>
      <c r="C207" s="5"/>
      <c r="D207" s="5"/>
      <c r="E207" s="5"/>
      <c r="F207" s="5"/>
      <c r="G207" s="5"/>
      <c r="H207" s="5"/>
      <c r="I207" s="5"/>
      <c r="J207" s="3"/>
      <c r="K207" s="3"/>
      <c r="L207" s="1"/>
      <c r="M207" s="3"/>
      <c r="N207" s="3"/>
      <c r="O207" s="1"/>
      <c r="P207" s="3"/>
      <c r="Q207" s="3"/>
      <c r="R207" s="1"/>
      <c r="S207" s="3"/>
      <c r="T207" s="3"/>
      <c r="U207" s="1"/>
      <c r="V207" s="3"/>
      <c r="W207" s="3"/>
      <c r="X207" s="1"/>
    </row>
    <row r="208" spans="2:28" ht="15" customHeight="1" x14ac:dyDescent="0.25">
      <c r="B208" s="5"/>
      <c r="C208" s="266" t="s">
        <v>395</v>
      </c>
      <c r="D208" s="266"/>
      <c r="E208" s="266"/>
      <c r="F208" s="266"/>
      <c r="G208" s="266"/>
      <c r="H208" s="45"/>
      <c r="I208" s="28"/>
      <c r="J208" s="18"/>
      <c r="K208" s="18"/>
      <c r="L208" s="18"/>
      <c r="M208" s="18"/>
      <c r="N208" s="18"/>
      <c r="O208" s="18"/>
      <c r="P208" s="18"/>
      <c r="Q208" s="18"/>
      <c r="R208" s="18"/>
      <c r="S208" s="18"/>
      <c r="T208" s="18"/>
      <c r="U208" s="18"/>
      <c r="V208" s="18"/>
      <c r="W208" s="18"/>
      <c r="X208" s="18"/>
    </row>
    <row r="209" spans="2:24" ht="15" customHeight="1" x14ac:dyDescent="0.25">
      <c r="B209" s="5"/>
      <c r="C209" s="28"/>
      <c r="D209" s="321" t="s">
        <v>477</v>
      </c>
      <c r="E209" s="321"/>
      <c r="F209" s="321"/>
      <c r="G209" s="321"/>
      <c r="H209" s="181"/>
      <c r="I209" s="28"/>
      <c r="J209" s="18"/>
      <c r="K209" s="18"/>
      <c r="L209" s="18"/>
      <c r="M209" s="18"/>
      <c r="N209" s="18"/>
      <c r="O209" s="18"/>
      <c r="P209" s="55"/>
      <c r="Q209" s="55"/>
      <c r="R209" s="18"/>
      <c r="S209" s="18"/>
      <c r="T209" s="18"/>
      <c r="U209" s="18"/>
      <c r="V209" s="18"/>
      <c r="W209" s="18"/>
      <c r="X209" s="18"/>
    </row>
    <row r="210" spans="2:24" ht="15" customHeight="1" x14ac:dyDescent="0.25">
      <c r="B210" s="5"/>
      <c r="C210" s="28"/>
      <c r="D210" s="321"/>
      <c r="E210" s="321"/>
      <c r="F210" s="321"/>
      <c r="G210" s="321"/>
      <c r="H210" s="181"/>
      <c r="I210" s="28"/>
      <c r="J210" s="316" t="str">
        <f>IF(ISBLANK('(3) Variantenbewertung'!$I$11),"",'(3) Variantenbewertung'!$I$11)</f>
        <v>V1</v>
      </c>
      <c r="K210" s="316"/>
      <c r="L210" s="18"/>
      <c r="M210" s="316" t="str">
        <f>IF(ISBLANK('(3) Variantenbewertung'!$L$11),"",'(3) Variantenbewertung'!$L$11)</f>
        <v>V2</v>
      </c>
      <c r="N210" s="316"/>
      <c r="O210" s="18"/>
      <c r="P210" s="316" t="str">
        <f>IF(ISBLANK('(3) Variantenbewertung'!$O$11),"",'(3) Variantenbewertung'!$O$11)</f>
        <v>V3</v>
      </c>
      <c r="Q210" s="316"/>
      <c r="R210" s="18"/>
      <c r="S210" s="316" t="str">
        <f>IF(ISBLANK('(3) Variantenbewertung'!$R$11),"",'(3) Variantenbewertung'!$R$11)</f>
        <v/>
      </c>
      <c r="T210" s="316"/>
      <c r="U210" s="18"/>
      <c r="V210" s="316" t="str">
        <f>IF(ISBLANK('(3) Variantenbewertung'!$U$11),"",'(3) Variantenbewertung'!$U$11)</f>
        <v/>
      </c>
      <c r="W210" s="316"/>
      <c r="X210" s="17"/>
    </row>
    <row r="211" spans="2:24" ht="15" customHeight="1" x14ac:dyDescent="0.25">
      <c r="B211" s="5"/>
      <c r="C211" s="28"/>
      <c r="D211" s="28"/>
      <c r="E211" s="27"/>
      <c r="F211" s="27"/>
      <c r="G211" s="28"/>
      <c r="H211" s="28"/>
      <c r="I211" s="28"/>
      <c r="J211" s="125" t="s">
        <v>66</v>
      </c>
      <c r="K211" s="53" t="str">
        <f>IF($E$212="Nicht vorhanden","","Bitte begründen:")</f>
        <v>Bitte begründen:</v>
      </c>
      <c r="L211" s="17"/>
      <c r="M211" s="125" t="s">
        <v>66</v>
      </c>
      <c r="N211" s="53" t="str">
        <f>IF($E$212="Nicht vorhanden","","Bitte begründen:")</f>
        <v>Bitte begründen:</v>
      </c>
      <c r="O211" s="17"/>
      <c r="P211" s="125" t="s">
        <v>66</v>
      </c>
      <c r="Q211" s="53" t="str">
        <f>IF($E$212="Nicht vorhanden","","Bitte begründen:")</f>
        <v>Bitte begründen:</v>
      </c>
      <c r="R211" s="17"/>
      <c r="S211" s="125" t="s">
        <v>66</v>
      </c>
      <c r="T211" s="53" t="str">
        <f>IF($E$212="Nicht vorhanden","","Bitte begründen:")</f>
        <v>Bitte begründen:</v>
      </c>
      <c r="U211" s="17"/>
      <c r="V211" s="125" t="s">
        <v>66</v>
      </c>
      <c r="W211" s="53" t="str">
        <f>IF($E$212="Nicht vorhanden","","Bitte begründen:")</f>
        <v>Bitte begründen:</v>
      </c>
      <c r="X211" s="17"/>
    </row>
    <row r="212" spans="2:24" ht="15" customHeight="1" x14ac:dyDescent="0.25">
      <c r="B212" s="5"/>
      <c r="C212" s="28"/>
      <c r="D212" s="30"/>
      <c r="E212" s="298" t="s">
        <v>156</v>
      </c>
      <c r="F212" s="228"/>
      <c r="G212" s="28"/>
      <c r="H212" s="28"/>
      <c r="I212" s="28"/>
      <c r="J212" s="199"/>
      <c r="K212" s="318"/>
      <c r="L212" s="18"/>
      <c r="M212" s="199" t="s">
        <v>178</v>
      </c>
      <c r="N212" s="318"/>
      <c r="O212" s="18"/>
      <c r="P212" s="199"/>
      <c r="Q212" s="318"/>
      <c r="R212" s="20"/>
      <c r="S212" s="199"/>
      <c r="T212" s="318"/>
      <c r="U212" s="18"/>
      <c r="V212" s="199"/>
      <c r="W212" s="318"/>
      <c r="X212" s="18"/>
    </row>
    <row r="213" spans="2:24" ht="15" customHeight="1" x14ac:dyDescent="0.25">
      <c r="B213" s="5"/>
      <c r="C213" s="36"/>
      <c r="D213" s="35"/>
      <c r="E213" s="265" t="s">
        <v>155</v>
      </c>
      <c r="F213" s="265"/>
      <c r="G213" s="28"/>
      <c r="H213" s="28"/>
      <c r="I213" s="28"/>
      <c r="J213" s="99" t="s">
        <v>178</v>
      </c>
      <c r="K213" s="319"/>
      <c r="L213" s="18"/>
      <c r="M213" s="99"/>
      <c r="N213" s="319"/>
      <c r="O213" s="18"/>
      <c r="P213" s="99" t="s">
        <v>178</v>
      </c>
      <c r="Q213" s="319"/>
      <c r="R213" s="18"/>
      <c r="S213" s="99"/>
      <c r="T213" s="319"/>
      <c r="U213" s="18"/>
      <c r="V213" s="99"/>
      <c r="W213" s="319"/>
      <c r="X213" s="18"/>
    </row>
    <row r="214" spans="2:24" ht="15" customHeight="1" x14ac:dyDescent="0.25">
      <c r="B214" s="5"/>
      <c r="C214" s="28"/>
      <c r="D214" s="32"/>
      <c r="E214" s="265" t="s">
        <v>26</v>
      </c>
      <c r="F214" s="265"/>
      <c r="G214" s="28"/>
      <c r="H214" s="28"/>
      <c r="I214" s="28"/>
      <c r="J214" s="99"/>
      <c r="K214" s="320"/>
      <c r="L214" s="18"/>
      <c r="M214" s="99"/>
      <c r="N214" s="320"/>
      <c r="O214" s="18"/>
      <c r="P214" s="99"/>
      <c r="Q214" s="320"/>
      <c r="R214" s="18"/>
      <c r="S214" s="99"/>
      <c r="T214" s="320"/>
      <c r="U214" s="18"/>
      <c r="V214" s="99"/>
      <c r="W214" s="320"/>
      <c r="X214" s="18"/>
    </row>
    <row r="215" spans="2:24" ht="15" customHeight="1" x14ac:dyDescent="0.25">
      <c r="B215" s="5"/>
      <c r="C215" s="28"/>
      <c r="D215" s="28"/>
      <c r="E215" s="28"/>
      <c r="F215" s="28"/>
      <c r="G215" s="28"/>
      <c r="H215" s="28"/>
      <c r="I215" s="28"/>
      <c r="J215" s="25" t="str">
        <f>IF(COUNTIF(J$212:J$214,"x")&lt;&gt;1,"FEHLER",IF(J$212="x","gut",IF(J$213="x","mässig","schlecht")))</f>
        <v>mässig</v>
      </c>
      <c r="K215" s="83"/>
      <c r="L215" s="18"/>
      <c r="M215" s="25" t="str">
        <f>IF(COUNTIF(M$212:M$214,"x")&lt;&gt;1,"FEHLER",IF(M$212="x","gut",IF(M$213="x","mässig","schlecht")))</f>
        <v>gut</v>
      </c>
      <c r="N215" s="83"/>
      <c r="O215" s="18"/>
      <c r="P215" s="25" t="str">
        <f>IF(COUNTIF(P$212:P$214,"x")&lt;&gt;1,"FEHLER",IF(P$212="x","gut",IF(P$213="x","mässig","schlecht")))</f>
        <v>mässig</v>
      </c>
      <c r="Q215" s="83"/>
      <c r="R215" s="18"/>
      <c r="S215" s="25" t="str">
        <f>IF(COUNTIF(S$212:S$214,"x")&lt;&gt;1,"FEHLER",IF(S$212="x","gut",IF(S$213="x","mässig","schlecht")))</f>
        <v>FEHLER</v>
      </c>
      <c r="T215" s="83"/>
      <c r="U215" s="18"/>
      <c r="V215" s="25" t="str">
        <f>IF(COUNTIF(V$212:V$214,"x")&lt;&gt;1,"FEHLER",IF(V$212="x","gut",IF(V$213="x","mässig","schlecht")))</f>
        <v>FEHLER</v>
      </c>
      <c r="W215" s="83"/>
      <c r="X215" s="18"/>
    </row>
    <row r="216" spans="2:24" ht="15" customHeight="1" x14ac:dyDescent="0.25">
      <c r="B216" s="5"/>
      <c r="C216" s="28"/>
      <c r="D216" s="28"/>
      <c r="E216" s="28"/>
      <c r="F216" s="28"/>
      <c r="G216" s="28"/>
      <c r="H216" s="28"/>
      <c r="I216" s="28"/>
      <c r="J216" s="20"/>
      <c r="K216" s="20"/>
      <c r="L216" s="18"/>
      <c r="M216" s="20"/>
      <c r="N216" s="20"/>
      <c r="O216" s="18"/>
      <c r="P216" s="20"/>
      <c r="Q216" s="20"/>
      <c r="R216" s="18"/>
      <c r="S216" s="20"/>
      <c r="T216" s="20"/>
      <c r="U216" s="18"/>
      <c r="V216" s="20"/>
      <c r="W216" s="20"/>
      <c r="X216" s="18"/>
    </row>
    <row r="217" spans="2:24" ht="15" customHeight="1" x14ac:dyDescent="0.25">
      <c r="B217" s="5"/>
      <c r="C217" s="5"/>
      <c r="D217" s="5"/>
      <c r="E217" s="280"/>
      <c r="F217" s="280"/>
      <c r="G217" s="6"/>
      <c r="H217" s="6"/>
      <c r="I217" s="6"/>
      <c r="J217" s="1"/>
      <c r="K217" s="1"/>
      <c r="L217" s="1"/>
      <c r="M217" s="1"/>
      <c r="N217" s="1"/>
      <c r="O217" s="1"/>
      <c r="P217" s="1"/>
      <c r="Q217" s="1"/>
      <c r="R217" s="1"/>
      <c r="S217" s="1"/>
      <c r="T217" s="1"/>
      <c r="U217" s="1"/>
      <c r="V217" s="1"/>
      <c r="W217" s="1"/>
      <c r="X217" s="1"/>
    </row>
    <row r="218" spans="2:24" ht="15" customHeight="1" x14ac:dyDescent="0.25">
      <c r="B218" s="5"/>
      <c r="C218" s="5"/>
      <c r="D218" s="5"/>
      <c r="E218" s="3"/>
      <c r="F218" s="3"/>
      <c r="G218" s="6"/>
      <c r="H218" s="6"/>
      <c r="I218" s="6"/>
      <c r="J218" s="1"/>
      <c r="K218" s="1"/>
      <c r="L218" s="1"/>
      <c r="M218" s="1"/>
      <c r="N218" s="1"/>
      <c r="O218" s="1"/>
      <c r="P218" s="1"/>
      <c r="Q218" s="1"/>
      <c r="R218" s="1"/>
      <c r="S218" s="1"/>
      <c r="T218" s="1"/>
      <c r="U218" s="1"/>
      <c r="V218" s="1"/>
      <c r="W218" s="1"/>
      <c r="X218" s="1"/>
    </row>
    <row r="219" spans="2:24" ht="15" customHeight="1" x14ac:dyDescent="0.25">
      <c r="B219" s="5"/>
      <c r="C219" s="266" t="s">
        <v>396</v>
      </c>
      <c r="D219" s="266"/>
      <c r="E219" s="266"/>
      <c r="F219" s="266"/>
      <c r="G219" s="266"/>
      <c r="H219" s="45"/>
      <c r="I219" s="28"/>
      <c r="J219" s="18"/>
      <c r="K219" s="18"/>
      <c r="L219" s="18"/>
      <c r="M219" s="18"/>
      <c r="N219" s="18"/>
      <c r="O219" s="18"/>
      <c r="P219" s="18"/>
      <c r="Q219" s="18"/>
      <c r="R219" s="18"/>
      <c r="S219" s="18"/>
      <c r="T219" s="18"/>
      <c r="U219" s="18"/>
      <c r="V219" s="18"/>
      <c r="W219" s="18"/>
      <c r="X219" s="18"/>
    </row>
    <row r="220" spans="2:24" ht="15" customHeight="1" x14ac:dyDescent="0.25">
      <c r="B220" s="5"/>
      <c r="C220" s="28"/>
      <c r="D220" s="321" t="s">
        <v>160</v>
      </c>
      <c r="E220" s="321"/>
      <c r="F220" s="321"/>
      <c r="G220" s="321"/>
      <c r="H220" s="181"/>
      <c r="I220" s="28"/>
      <c r="J220" s="18"/>
      <c r="K220" s="18"/>
      <c r="L220" s="18"/>
      <c r="M220" s="18"/>
      <c r="N220" s="18"/>
      <c r="O220" s="18"/>
      <c r="P220" s="55"/>
      <c r="Q220" s="55"/>
      <c r="R220" s="18"/>
      <c r="S220" s="18"/>
      <c r="T220" s="18"/>
      <c r="U220" s="18"/>
      <c r="V220" s="18"/>
      <c r="W220" s="18"/>
      <c r="X220" s="18"/>
    </row>
    <row r="221" spans="2:24" ht="15" customHeight="1" x14ac:dyDescent="0.25">
      <c r="B221" s="5"/>
      <c r="C221" s="28"/>
      <c r="D221" s="321"/>
      <c r="E221" s="321"/>
      <c r="F221" s="321"/>
      <c r="G221" s="321"/>
      <c r="H221" s="181"/>
      <c r="I221" s="28"/>
      <c r="J221" s="316" t="str">
        <f>IF(ISBLANK('(3) Variantenbewertung'!$I$11),"",'(3) Variantenbewertung'!$I$11)</f>
        <v>V1</v>
      </c>
      <c r="K221" s="316"/>
      <c r="L221" s="18"/>
      <c r="M221" s="316" t="str">
        <f>IF(ISBLANK('(3) Variantenbewertung'!$L$11),"",'(3) Variantenbewertung'!$L$11)</f>
        <v>V2</v>
      </c>
      <c r="N221" s="316"/>
      <c r="O221" s="18"/>
      <c r="P221" s="316" t="str">
        <f>IF(ISBLANK('(3) Variantenbewertung'!$O$11),"",'(3) Variantenbewertung'!$O$11)</f>
        <v>V3</v>
      </c>
      <c r="Q221" s="316"/>
      <c r="R221" s="18"/>
      <c r="S221" s="316" t="str">
        <f>IF(ISBLANK('(3) Variantenbewertung'!$R$11),"",'(3) Variantenbewertung'!$R$11)</f>
        <v/>
      </c>
      <c r="T221" s="316"/>
      <c r="U221" s="18"/>
      <c r="V221" s="316" t="str">
        <f>IF(ISBLANK('(3) Variantenbewertung'!$U$11),"",'(3) Variantenbewertung'!$U$11)</f>
        <v/>
      </c>
      <c r="W221" s="316"/>
      <c r="X221" s="17"/>
    </row>
    <row r="222" spans="2:24" ht="15" customHeight="1" x14ac:dyDescent="0.25">
      <c r="B222" s="5"/>
      <c r="C222" s="28"/>
      <c r="D222" s="28"/>
      <c r="E222" s="27"/>
      <c r="F222" s="27"/>
      <c r="G222" s="28"/>
      <c r="H222" s="28"/>
      <c r="I222" s="28"/>
      <c r="J222" s="125" t="s">
        <v>66</v>
      </c>
      <c r="K222" s="53" t="str">
        <f>IF($E$223="Nicht vorhanden","","Bitte begründen:")</f>
        <v>Bitte begründen:</v>
      </c>
      <c r="L222" s="17"/>
      <c r="M222" s="125" t="s">
        <v>66</v>
      </c>
      <c r="N222" s="53" t="str">
        <f>IF($E$223="Nicht vorhanden","","Bitte begründen:")</f>
        <v>Bitte begründen:</v>
      </c>
      <c r="O222" s="17"/>
      <c r="P222" s="125" t="s">
        <v>66</v>
      </c>
      <c r="Q222" s="53" t="str">
        <f>IF($E$223="Nicht vorhanden","","Bitte begründen:")</f>
        <v>Bitte begründen:</v>
      </c>
      <c r="R222" s="17"/>
      <c r="S222" s="125" t="s">
        <v>66</v>
      </c>
      <c r="T222" s="53" t="str">
        <f>IF($E$223="Nicht vorhanden","","Bitte begründen:")</f>
        <v>Bitte begründen:</v>
      </c>
      <c r="U222" s="17"/>
      <c r="V222" s="125" t="s">
        <v>66</v>
      </c>
      <c r="W222" s="53" t="str">
        <f>IF($E$223="Nicht vorhanden","","Bitte begründen:")</f>
        <v>Bitte begründen:</v>
      </c>
      <c r="X222" s="17"/>
    </row>
    <row r="223" spans="2:24" ht="15" customHeight="1" x14ac:dyDescent="0.25">
      <c r="B223" s="5"/>
      <c r="C223" s="28"/>
      <c r="D223" s="30"/>
      <c r="E223" s="298" t="s">
        <v>153</v>
      </c>
      <c r="F223" s="228"/>
      <c r="G223" s="28"/>
      <c r="H223" s="28"/>
      <c r="I223" s="28"/>
      <c r="J223" s="199"/>
      <c r="K223" s="318"/>
      <c r="L223" s="18"/>
      <c r="M223" s="199" t="s">
        <v>178</v>
      </c>
      <c r="N223" s="318"/>
      <c r="O223" s="18"/>
      <c r="P223" s="199" t="s">
        <v>178</v>
      </c>
      <c r="Q223" s="318"/>
      <c r="R223" s="20"/>
      <c r="S223" s="199"/>
      <c r="T223" s="318"/>
      <c r="U223" s="18"/>
      <c r="V223" s="199"/>
      <c r="W223" s="318"/>
      <c r="X223" s="18"/>
    </row>
    <row r="224" spans="2:24" ht="15" customHeight="1" x14ac:dyDescent="0.25">
      <c r="B224" s="5"/>
      <c r="C224" s="36"/>
      <c r="D224" s="35"/>
      <c r="E224" s="265" t="s">
        <v>46</v>
      </c>
      <c r="F224" s="265"/>
      <c r="G224" s="28"/>
      <c r="H224" s="28"/>
      <c r="I224" s="28"/>
      <c r="J224" s="99" t="s">
        <v>178</v>
      </c>
      <c r="K224" s="319"/>
      <c r="L224" s="18"/>
      <c r="M224" s="99"/>
      <c r="N224" s="319"/>
      <c r="O224" s="18"/>
      <c r="P224" s="99"/>
      <c r="Q224" s="319"/>
      <c r="R224" s="18"/>
      <c r="S224" s="99"/>
      <c r="T224" s="319"/>
      <c r="U224" s="18"/>
      <c r="V224" s="99"/>
      <c r="W224" s="319"/>
      <c r="X224" s="18"/>
    </row>
    <row r="225" spans="3:24" ht="15" customHeight="1" x14ac:dyDescent="0.25">
      <c r="C225" s="28"/>
      <c r="D225" s="32"/>
      <c r="E225" s="265" t="s">
        <v>154</v>
      </c>
      <c r="F225" s="265"/>
      <c r="G225" s="28"/>
      <c r="H225" s="28"/>
      <c r="I225" s="28"/>
      <c r="J225" s="99"/>
      <c r="K225" s="320"/>
      <c r="L225" s="18"/>
      <c r="M225" s="99"/>
      <c r="N225" s="320"/>
      <c r="O225" s="18"/>
      <c r="P225" s="99"/>
      <c r="Q225" s="320"/>
      <c r="R225" s="18"/>
      <c r="S225" s="99"/>
      <c r="T225" s="320"/>
      <c r="U225" s="18"/>
      <c r="V225" s="99"/>
      <c r="W225" s="320"/>
      <c r="X225" s="18"/>
    </row>
    <row r="226" spans="3:24" ht="15" customHeight="1" x14ac:dyDescent="0.25">
      <c r="C226" s="28"/>
      <c r="D226" s="28"/>
      <c r="E226" s="28"/>
      <c r="F226" s="28"/>
      <c r="G226" s="28"/>
      <c r="H226" s="28"/>
      <c r="I226" s="28"/>
      <c r="J226" s="25" t="str">
        <f>IF(COUNTIF(J$223:J$225,"x")&lt;&gt;1,"FEHLER",IF(J$223="x","gut",IF(J$224="x","mässig","schlecht")))</f>
        <v>mässig</v>
      </c>
      <c r="K226" s="83"/>
      <c r="L226" s="18"/>
      <c r="M226" s="25" t="str">
        <f>IF(COUNTIF(M$223:M$225,"x")&lt;&gt;1,"FEHLER",IF(M$223="x","gut",IF(M$224="x","mässig","schlecht")))</f>
        <v>gut</v>
      </c>
      <c r="N226" s="83"/>
      <c r="O226" s="18"/>
      <c r="P226" s="25" t="str">
        <f>IF(COUNTIF(P$223:P$225,"x")&lt;&gt;1,"FEHLER",IF(P$223="x","gut",IF(P$224="x","mässig","schlecht")))</f>
        <v>gut</v>
      </c>
      <c r="Q226" s="83"/>
      <c r="R226" s="18"/>
      <c r="S226" s="25" t="str">
        <f>IF(COUNTIF(S$223:S$225,"x")&lt;&gt;1,"FEHLER",IF(S$223="x","gut",IF(S$224="x","mässig","schlecht")))</f>
        <v>FEHLER</v>
      </c>
      <c r="T226" s="83"/>
      <c r="U226" s="18"/>
      <c r="V226" s="25" t="str">
        <f>IF(COUNTIF(V$223:V$225,"x")&lt;&gt;1,"FEHLER",IF(V$223="x","gut",IF(V$224="x","mässig","schlecht")))</f>
        <v>FEHLER</v>
      </c>
      <c r="W226" s="83"/>
      <c r="X226" s="18"/>
    </row>
    <row r="227" spans="3:24" ht="15" customHeight="1" x14ac:dyDescent="0.25">
      <c r="C227" s="28"/>
      <c r="D227" s="28"/>
      <c r="E227" s="28"/>
      <c r="F227" s="28"/>
      <c r="G227" s="28"/>
      <c r="H227" s="28"/>
      <c r="I227" s="28"/>
      <c r="J227" s="20"/>
      <c r="K227" s="20"/>
      <c r="L227" s="18"/>
      <c r="M227" s="20"/>
      <c r="N227" s="20"/>
      <c r="O227" s="18"/>
      <c r="P227" s="20"/>
      <c r="Q227" s="20"/>
      <c r="R227" s="18"/>
      <c r="S227" s="20"/>
      <c r="T227" s="20"/>
      <c r="U227" s="18"/>
      <c r="V227" s="20"/>
      <c r="W227" s="20"/>
      <c r="X227" s="18"/>
    </row>
    <row r="228" spans="3:24" ht="15" customHeight="1" x14ac:dyDescent="0.25"/>
    <row r="229" spans="3:24" ht="15" customHeight="1" x14ac:dyDescent="0.25"/>
    <row r="230" spans="3:24" ht="15" customHeight="1" x14ac:dyDescent="0.25">
      <c r="C230" s="266" t="s">
        <v>406</v>
      </c>
      <c r="D230" s="266"/>
      <c r="E230" s="266"/>
      <c r="F230" s="266"/>
      <c r="G230" s="28"/>
      <c r="H230" s="28"/>
      <c r="I230" s="28"/>
      <c r="J230" s="18"/>
      <c r="K230" s="18"/>
      <c r="L230" s="18"/>
      <c r="M230" s="18"/>
      <c r="N230" s="18"/>
      <c r="O230" s="18"/>
      <c r="P230" s="18"/>
      <c r="Q230" s="18"/>
      <c r="R230" s="18"/>
      <c r="S230" s="18"/>
      <c r="T230" s="18"/>
      <c r="U230" s="18"/>
      <c r="V230" s="18"/>
      <c r="W230" s="18"/>
      <c r="X230" s="18"/>
    </row>
    <row r="231" spans="3:24" ht="15" customHeight="1" x14ac:dyDescent="0.25">
      <c r="C231" s="28"/>
      <c r="D231" s="347" t="s">
        <v>479</v>
      </c>
      <c r="E231" s="347"/>
      <c r="F231" s="347"/>
      <c r="G231" s="187"/>
      <c r="H231" s="181"/>
      <c r="I231" s="28"/>
      <c r="J231" s="316" t="str">
        <f>IF(ISBLANK('(3) Variantenbewertung'!$I$11),"",'(3) Variantenbewertung'!$I$11)</f>
        <v>V1</v>
      </c>
      <c r="K231" s="316"/>
      <c r="L231" s="18"/>
      <c r="M231" s="316" t="str">
        <f>IF(ISBLANK('(3) Variantenbewertung'!$L$11),"",'(3) Variantenbewertung'!$L$11)</f>
        <v>V2</v>
      </c>
      <c r="N231" s="316"/>
      <c r="O231" s="18"/>
      <c r="P231" s="316" t="str">
        <f>IF(ISBLANK('(3) Variantenbewertung'!$O$11),"",'(3) Variantenbewertung'!$O$11)</f>
        <v>V3</v>
      </c>
      <c r="Q231" s="316"/>
      <c r="R231" s="18"/>
      <c r="S231" s="316" t="str">
        <f>IF(ISBLANK('(3) Variantenbewertung'!$R$11),"",'(3) Variantenbewertung'!$R$11)</f>
        <v/>
      </c>
      <c r="T231" s="316"/>
      <c r="U231" s="18"/>
      <c r="V231" s="316" t="str">
        <f>IF(ISBLANK('(3) Variantenbewertung'!$U$11),"",'(3) Variantenbewertung'!$U$11)</f>
        <v/>
      </c>
      <c r="W231" s="316"/>
      <c r="X231" s="18"/>
    </row>
    <row r="232" spans="3:24" ht="15" customHeight="1" x14ac:dyDescent="0.25">
      <c r="C232" s="28"/>
      <c r="D232" s="347"/>
      <c r="E232" s="347"/>
      <c r="F232" s="347"/>
      <c r="G232" s="187"/>
      <c r="H232" s="181"/>
      <c r="I232" s="28"/>
      <c r="J232" s="132" t="s">
        <v>221</v>
      </c>
      <c r="K232" s="133" t="s">
        <v>222</v>
      </c>
      <c r="L232" s="17"/>
      <c r="M232" s="132" t="s">
        <v>221</v>
      </c>
      <c r="N232" s="133" t="s">
        <v>222</v>
      </c>
      <c r="O232" s="17"/>
      <c r="P232" s="132" t="s">
        <v>221</v>
      </c>
      <c r="Q232" s="133" t="s">
        <v>222</v>
      </c>
      <c r="R232" s="17"/>
      <c r="S232" s="132" t="s">
        <v>221</v>
      </c>
      <c r="T232" s="133" t="s">
        <v>222</v>
      </c>
      <c r="U232" s="17"/>
      <c r="V232" s="132" t="s">
        <v>221</v>
      </c>
      <c r="W232" s="133" t="s">
        <v>222</v>
      </c>
      <c r="X232" s="17"/>
    </row>
    <row r="233" spans="3:24" ht="15" customHeight="1" x14ac:dyDescent="0.25">
      <c r="C233" s="28"/>
      <c r="D233" s="28"/>
      <c r="E233" s="28"/>
      <c r="F233" s="28"/>
      <c r="G233" s="28"/>
      <c r="H233" s="28"/>
      <c r="I233" s="28"/>
      <c r="J233" s="25" t="s">
        <v>164</v>
      </c>
      <c r="K233" s="53" t="str">
        <f>IF(NOT(K237="keine Korrektur"),"Bitte begründen:","")</f>
        <v/>
      </c>
      <c r="L233" s="20"/>
      <c r="M233" s="25" t="s">
        <v>164</v>
      </c>
      <c r="N233" s="53" t="str">
        <f>IF(NOT(N237="keine Korrektur"),"Bitte begründen:","")</f>
        <v/>
      </c>
      <c r="O233" s="20"/>
      <c r="P233" s="25" t="s">
        <v>164</v>
      </c>
      <c r="Q233" s="53" t="str">
        <f>IF(NOT(Q237="keine Korrektur"),"Bitte begründen:","")</f>
        <v/>
      </c>
      <c r="R233" s="20"/>
      <c r="S233" s="25" t="s">
        <v>164</v>
      </c>
      <c r="T233" s="53" t="str">
        <f>IF(NOT(T237="keine Korrektur"),"Bitte begründen:","")</f>
        <v/>
      </c>
      <c r="U233" s="20"/>
      <c r="V233" s="25" t="s">
        <v>164</v>
      </c>
      <c r="W233" s="53" t="str">
        <f>IF(NOT(W237="keine Korrektur"),"Bitte begründen:","")</f>
        <v/>
      </c>
      <c r="X233" s="17"/>
    </row>
    <row r="234" spans="3:24" ht="15" customHeight="1" x14ac:dyDescent="0.25">
      <c r="C234" s="28"/>
      <c r="D234" s="30"/>
      <c r="E234" s="298" t="str">
        <f>IF(COUNTIF('(1) Grundlagen'!$C$36,TRUE)&lt;1,"Nicht vorhanden","0 bis 33%")</f>
        <v>0 bis 33%</v>
      </c>
      <c r="F234" s="228"/>
      <c r="G234" s="28"/>
      <c r="H234" s="28"/>
      <c r="I234" s="28"/>
      <c r="J234" s="223">
        <v>12</v>
      </c>
      <c r="K234" s="315"/>
      <c r="L234" s="18"/>
      <c r="M234" s="223">
        <v>52</v>
      </c>
      <c r="N234" s="315"/>
      <c r="O234" s="18"/>
      <c r="P234" s="223">
        <v>100</v>
      </c>
      <c r="Q234" s="315"/>
      <c r="R234" s="20"/>
      <c r="S234" s="223"/>
      <c r="T234" s="315"/>
      <c r="U234" s="18"/>
      <c r="V234" s="223"/>
      <c r="W234" s="315"/>
      <c r="X234" s="18"/>
    </row>
    <row r="235" spans="3:24" ht="15" customHeight="1" x14ac:dyDescent="0.25">
      <c r="C235" s="28"/>
      <c r="D235" s="31"/>
      <c r="E235" s="265" t="str">
        <f>IF(COUNTIF('(1) Grundlagen'!$C$36,TRUE)&lt;1,"","33 bis 66%")</f>
        <v>33 bis 66%</v>
      </c>
      <c r="F235" s="265"/>
      <c r="G235" s="28"/>
      <c r="H235" s="28"/>
      <c r="I235" s="28"/>
      <c r="J235" s="223"/>
      <c r="K235" s="315"/>
      <c r="L235" s="18"/>
      <c r="M235" s="223"/>
      <c r="N235" s="315"/>
      <c r="O235" s="18"/>
      <c r="P235" s="223"/>
      <c r="Q235" s="315"/>
      <c r="R235" s="18"/>
      <c r="S235" s="223"/>
      <c r="T235" s="315"/>
      <c r="U235" s="18"/>
      <c r="V235" s="223"/>
      <c r="W235" s="315"/>
      <c r="X235" s="18"/>
    </row>
    <row r="236" spans="3:24" ht="15" customHeight="1" x14ac:dyDescent="0.25">
      <c r="C236" s="28"/>
      <c r="D236" s="32"/>
      <c r="E236" s="265" t="str">
        <f>IF(COUNTIF('(1) Grundlagen'!$C$36,TRUE)&lt;1,"","66 bis 100%")</f>
        <v>66 bis 100%</v>
      </c>
      <c r="F236" s="265"/>
      <c r="G236" s="28"/>
      <c r="H236" s="28"/>
      <c r="I236" s="28"/>
      <c r="J236" s="223"/>
      <c r="K236" s="315"/>
      <c r="L236" s="18"/>
      <c r="M236" s="223"/>
      <c r="N236" s="315"/>
      <c r="O236" s="18"/>
      <c r="P236" s="223"/>
      <c r="Q236" s="315"/>
      <c r="R236" s="18"/>
      <c r="S236" s="223"/>
      <c r="T236" s="315"/>
      <c r="U236" s="18"/>
      <c r="V236" s="223"/>
      <c r="W236" s="315"/>
      <c r="X236" s="18"/>
    </row>
    <row r="237" spans="3:24" ht="15" customHeight="1" x14ac:dyDescent="0.25">
      <c r="C237" s="28"/>
      <c r="D237" s="28"/>
      <c r="E237" s="28"/>
      <c r="F237" s="28"/>
      <c r="G237" s="28"/>
      <c r="H237" s="28"/>
      <c r="I237" s="28"/>
      <c r="J237" s="25" t="str">
        <f>IF(OR(ISBLANK(J234),NOT(ISNUMBER(J234))),"WERT?",IF(J234&lt;=33,"gut",IF(AND(J234&gt;33,J234&lt;=66),"mässig","schlecht")))</f>
        <v>gut</v>
      </c>
      <c r="K237" s="99" t="s">
        <v>45</v>
      </c>
      <c r="L237" s="18"/>
      <c r="M237" s="25" t="str">
        <f>IF(OR(ISBLANK(M234),NOT(ISNUMBER(M234))),"WERT?",IF(M234&lt;=33,"gut",IF(AND(M234&gt;33,M234&lt;=66),"mässig","schlecht")))</f>
        <v>mässig</v>
      </c>
      <c r="N237" s="99" t="s">
        <v>45</v>
      </c>
      <c r="O237" s="18"/>
      <c r="P237" s="25" t="str">
        <f>IF(OR(ISBLANK(P234),NOT(ISNUMBER(P234))),"WERT?",IF(P234&lt;=33,"gut",IF(AND(P234&gt;33,P234&lt;=66),"mässig","schlecht")))</f>
        <v>schlecht</v>
      </c>
      <c r="Q237" s="99" t="s">
        <v>45</v>
      </c>
      <c r="R237" s="18"/>
      <c r="S237" s="25" t="str">
        <f>IF(OR(ISBLANK(S234),NOT(ISNUMBER(S234))),"WERT?",IF(S234&lt;=33,"gut",IF(AND(S234&gt;33,S234&lt;=66),"mässig","schlecht")))</f>
        <v>WERT?</v>
      </c>
      <c r="T237" s="99" t="s">
        <v>45</v>
      </c>
      <c r="U237" s="18"/>
      <c r="V237" s="25" t="str">
        <f>IF(OR(ISBLANK(V234),NOT(ISNUMBER(V234))),"WERT?",IF(V234&lt;=33,"gut",IF(AND(V234&gt;33,V234&lt;=66),"mässig","schlecht")))</f>
        <v>WERT?</v>
      </c>
      <c r="W237" s="99" t="s">
        <v>45</v>
      </c>
      <c r="X237" s="18"/>
    </row>
    <row r="238" spans="3:24" ht="15" customHeight="1" x14ac:dyDescent="0.25">
      <c r="C238" s="28"/>
      <c r="D238" s="28"/>
      <c r="E238" s="28"/>
      <c r="F238" s="28"/>
      <c r="G238" s="28"/>
      <c r="H238" s="28"/>
      <c r="I238" s="28"/>
      <c r="J238" s="20"/>
      <c r="K238" s="20"/>
      <c r="L238" s="18"/>
      <c r="M238" s="20"/>
      <c r="N238" s="20"/>
      <c r="O238" s="18"/>
      <c r="P238" s="20"/>
      <c r="Q238" s="20"/>
      <c r="R238" s="18"/>
      <c r="S238" s="20"/>
      <c r="T238" s="20"/>
      <c r="U238" s="18"/>
      <c r="V238" s="20"/>
      <c r="W238" s="20"/>
      <c r="X238" s="18"/>
    </row>
    <row r="239" spans="3:24" ht="15" customHeight="1" x14ac:dyDescent="0.25"/>
    <row r="240" spans="3:24" ht="15" customHeight="1" x14ac:dyDescent="0.25"/>
    <row r="241" spans="3:28" ht="15" customHeight="1" x14ac:dyDescent="0.25">
      <c r="C241" s="266" t="s">
        <v>407</v>
      </c>
      <c r="D241" s="266"/>
      <c r="E241" s="266"/>
      <c r="F241" s="266"/>
      <c r="G241" s="28"/>
      <c r="H241" s="28"/>
      <c r="I241" s="28"/>
      <c r="J241" s="18"/>
      <c r="K241" s="18"/>
      <c r="L241" s="18"/>
      <c r="M241" s="18"/>
      <c r="N241" s="18"/>
      <c r="O241" s="18"/>
      <c r="P241" s="18"/>
      <c r="Q241" s="18"/>
      <c r="R241" s="18"/>
      <c r="S241" s="18"/>
      <c r="T241" s="18"/>
      <c r="U241" s="18"/>
      <c r="V241" s="18"/>
      <c r="W241" s="18"/>
      <c r="X241" s="18"/>
    </row>
    <row r="242" spans="3:28" ht="15" customHeight="1" x14ac:dyDescent="0.25">
      <c r="C242" s="28"/>
      <c r="D242" s="347" t="s">
        <v>478</v>
      </c>
      <c r="E242" s="347"/>
      <c r="F242" s="347"/>
      <c r="G242" s="187"/>
      <c r="H242" s="181"/>
      <c r="I242" s="28"/>
      <c r="J242" s="316" t="str">
        <f>IF(ISBLANK('(3) Variantenbewertung'!$I$11),"",'(3) Variantenbewertung'!$I$11)</f>
        <v>V1</v>
      </c>
      <c r="K242" s="316"/>
      <c r="L242" s="18"/>
      <c r="M242" s="316" t="str">
        <f>IF(ISBLANK('(3) Variantenbewertung'!$L$11),"",'(3) Variantenbewertung'!$L$11)</f>
        <v>V2</v>
      </c>
      <c r="N242" s="316"/>
      <c r="O242" s="18"/>
      <c r="P242" s="316" t="str">
        <f>IF(ISBLANK('(3) Variantenbewertung'!$O$11),"",'(3) Variantenbewertung'!$O$11)</f>
        <v>V3</v>
      </c>
      <c r="Q242" s="316"/>
      <c r="R242" s="18"/>
      <c r="S242" s="316" t="str">
        <f>IF(ISBLANK('(3) Variantenbewertung'!$R$11),"",'(3) Variantenbewertung'!$R$11)</f>
        <v/>
      </c>
      <c r="T242" s="316"/>
      <c r="U242" s="18"/>
      <c r="V242" s="316" t="str">
        <f>IF(ISBLANK('(3) Variantenbewertung'!$U$11),"",'(3) Variantenbewertung'!$U$11)</f>
        <v/>
      </c>
      <c r="W242" s="316"/>
      <c r="X242" s="18"/>
    </row>
    <row r="243" spans="3:28" ht="15" customHeight="1" x14ac:dyDescent="0.25">
      <c r="C243" s="28"/>
      <c r="D243" s="347"/>
      <c r="E243" s="347"/>
      <c r="F243" s="347"/>
      <c r="G243" s="187"/>
      <c r="H243" s="181"/>
      <c r="I243" s="28"/>
      <c r="J243" s="132" t="s">
        <v>221</v>
      </c>
      <c r="K243" s="133" t="s">
        <v>222</v>
      </c>
      <c r="L243" s="17"/>
      <c r="M243" s="132" t="s">
        <v>221</v>
      </c>
      <c r="N243" s="133" t="s">
        <v>222</v>
      </c>
      <c r="O243" s="17"/>
      <c r="P243" s="132" t="s">
        <v>221</v>
      </c>
      <c r="Q243" s="133" t="s">
        <v>222</v>
      </c>
      <c r="R243" s="17"/>
      <c r="S243" s="132" t="s">
        <v>221</v>
      </c>
      <c r="T243" s="133" t="s">
        <v>222</v>
      </c>
      <c r="U243" s="17"/>
      <c r="V243" s="132" t="s">
        <v>221</v>
      </c>
      <c r="W243" s="133" t="s">
        <v>222</v>
      </c>
      <c r="X243" s="17"/>
    </row>
    <row r="244" spans="3:28" ht="15" customHeight="1" x14ac:dyDescent="0.25">
      <c r="C244" s="28"/>
      <c r="D244" s="28"/>
      <c r="E244" s="28"/>
      <c r="F244" s="28"/>
      <c r="G244" s="28"/>
      <c r="H244" s="28"/>
      <c r="I244" s="28"/>
      <c r="J244" s="25" t="s">
        <v>164</v>
      </c>
      <c r="K244" s="53" t="str">
        <f>IF(NOT(K248="keine Korrektur"),"Bitte begründen:","")</f>
        <v/>
      </c>
      <c r="L244" s="20"/>
      <c r="M244" s="25" t="s">
        <v>164</v>
      </c>
      <c r="N244" s="53" t="str">
        <f>IF(NOT(N248="keine Korrektur"),"Bitte begründen:","")</f>
        <v/>
      </c>
      <c r="O244" s="20"/>
      <c r="P244" s="25" t="s">
        <v>164</v>
      </c>
      <c r="Q244" s="53" t="str">
        <f>IF(NOT(Q248="keine Korrektur"),"Bitte begründen:","")</f>
        <v>Bitte begründen:</v>
      </c>
      <c r="R244" s="20"/>
      <c r="S244" s="25" t="s">
        <v>164</v>
      </c>
      <c r="T244" s="53" t="str">
        <f>IF(NOT(T248="keine Korrektur"),"Bitte begründen:","")</f>
        <v/>
      </c>
      <c r="U244" s="20"/>
      <c r="V244" s="25" t="s">
        <v>164</v>
      </c>
      <c r="W244" s="53" t="str">
        <f>IF(NOT(W248="keine Korrektur"),"Bitte begründen:","")</f>
        <v/>
      </c>
      <c r="X244" s="17"/>
    </row>
    <row r="245" spans="3:28" ht="15" customHeight="1" x14ac:dyDescent="0.25">
      <c r="C245" s="28"/>
      <c r="D245" s="30"/>
      <c r="E245" s="298" t="str">
        <f>IF(COUNTIF('(1) Grundlagen'!$C$36,TRUE)&lt;1,"Nicht vorhanden","0 bis 33%")</f>
        <v>0 bis 33%</v>
      </c>
      <c r="F245" s="228"/>
      <c r="G245" s="28"/>
      <c r="H245" s="28"/>
      <c r="I245" s="28"/>
      <c r="J245" s="223">
        <v>5</v>
      </c>
      <c r="K245" s="315"/>
      <c r="L245" s="18"/>
      <c r="M245" s="223">
        <v>5</v>
      </c>
      <c r="N245" s="315"/>
      <c r="O245" s="18"/>
      <c r="P245" s="223">
        <v>20</v>
      </c>
      <c r="Q245" s="315" t="s">
        <v>532</v>
      </c>
      <c r="R245" s="20"/>
      <c r="S245" s="223"/>
      <c r="T245" s="315"/>
      <c r="U245" s="18"/>
      <c r="V245" s="223"/>
      <c r="W245" s="315"/>
      <c r="X245" s="18"/>
    </row>
    <row r="246" spans="3:28" ht="15" customHeight="1" x14ac:dyDescent="0.25">
      <c r="C246" s="28"/>
      <c r="D246" s="31"/>
      <c r="E246" s="265" t="str">
        <f>IF(COUNTIF('(1) Grundlagen'!$C$36,TRUE)&lt;1,"","33 bis 66%")</f>
        <v>33 bis 66%</v>
      </c>
      <c r="F246" s="265"/>
      <c r="G246" s="28"/>
      <c r="H246" s="28"/>
      <c r="I246" s="28"/>
      <c r="J246" s="223"/>
      <c r="K246" s="315"/>
      <c r="L246" s="18"/>
      <c r="M246" s="223"/>
      <c r="N246" s="315"/>
      <c r="O246" s="18"/>
      <c r="P246" s="223"/>
      <c r="Q246" s="315"/>
      <c r="R246" s="18"/>
      <c r="S246" s="223"/>
      <c r="T246" s="315"/>
      <c r="U246" s="18"/>
      <c r="V246" s="223"/>
      <c r="W246" s="315"/>
      <c r="X246" s="18"/>
    </row>
    <row r="247" spans="3:28" ht="15" customHeight="1" x14ac:dyDescent="0.25">
      <c r="C247" s="28"/>
      <c r="D247" s="32"/>
      <c r="E247" s="265" t="str">
        <f>IF(COUNTIF('(1) Grundlagen'!$C$36,TRUE)&lt;1,"","66 bis 100%")</f>
        <v>66 bis 100%</v>
      </c>
      <c r="F247" s="265"/>
      <c r="G247" s="28"/>
      <c r="H247" s="28"/>
      <c r="I247" s="28"/>
      <c r="J247" s="223"/>
      <c r="K247" s="315"/>
      <c r="L247" s="18"/>
      <c r="M247" s="223"/>
      <c r="N247" s="315"/>
      <c r="O247" s="18"/>
      <c r="P247" s="223"/>
      <c r="Q247" s="315"/>
      <c r="R247" s="18"/>
      <c r="S247" s="223"/>
      <c r="T247" s="315"/>
      <c r="U247" s="18"/>
      <c r="V247" s="223"/>
      <c r="W247" s="315"/>
      <c r="X247" s="18"/>
    </row>
    <row r="248" spans="3:28" ht="15" customHeight="1" x14ac:dyDescent="0.25">
      <c r="C248" s="28"/>
      <c r="D248" s="28"/>
      <c r="E248" s="28"/>
      <c r="F248" s="28"/>
      <c r="G248" s="28"/>
      <c r="H248" s="28"/>
      <c r="I248" s="28"/>
      <c r="J248" s="25" t="str">
        <f>IF(OR(ISBLANK(J245),NOT(ISNUMBER(J245))),"WERT?",IF(J245&lt;=33,"gut",IF(AND(J245&gt;33,J245&lt;=66),"mässig","schlecht")))</f>
        <v>gut</v>
      </c>
      <c r="K248" s="99" t="s">
        <v>45</v>
      </c>
      <c r="L248" s="18"/>
      <c r="M248" s="25" t="str">
        <f>IF(OR(ISBLANK(M245),NOT(ISNUMBER(M245))),"WERT?",IF(M245&lt;=33,"gut",IF(AND(M245&gt;33,M245&lt;=66),"mässig","schlecht")))</f>
        <v>gut</v>
      </c>
      <c r="N248" s="99" t="s">
        <v>45</v>
      </c>
      <c r="O248" s="18"/>
      <c r="P248" s="25" t="str">
        <f>IF(OR(ISBLANK(P245),NOT(ISNUMBER(P245))),"WERT?",IF(P245&lt;=33,"gut",IF(AND(P245&gt;33,P245&lt;=66),"mässig","schlecht")))</f>
        <v>gut</v>
      </c>
      <c r="Q248" s="99" t="s">
        <v>223</v>
      </c>
      <c r="R248" s="18"/>
      <c r="S248" s="25" t="str">
        <f>IF(OR(ISBLANK(S245),NOT(ISNUMBER(S245))),"WERT?",IF(S245&lt;=33,"gut",IF(AND(S245&gt;33,S245&lt;=66),"mässig","schlecht")))</f>
        <v>WERT?</v>
      </c>
      <c r="T248" s="99" t="s">
        <v>45</v>
      </c>
      <c r="U248" s="18"/>
      <c r="V248" s="25" t="str">
        <f>IF(OR(ISBLANK(V245),NOT(ISNUMBER(V245))),"WERT?",IF(V245&lt;=33,"gut",IF(AND(V245&gt;33,V245&lt;=66),"mässig","schlecht")))</f>
        <v>WERT?</v>
      </c>
      <c r="W248" s="99" t="s">
        <v>45</v>
      </c>
      <c r="X248" s="18"/>
    </row>
    <row r="249" spans="3:28" ht="15" customHeight="1" x14ac:dyDescent="0.25">
      <c r="C249" s="28"/>
      <c r="D249" s="28"/>
      <c r="E249" s="28"/>
      <c r="F249" s="28"/>
      <c r="G249" s="28"/>
      <c r="H249" s="28"/>
      <c r="I249" s="28"/>
      <c r="J249" s="20"/>
      <c r="K249" s="20"/>
      <c r="L249" s="18"/>
      <c r="M249" s="20"/>
      <c r="N249" s="20"/>
      <c r="O249" s="18"/>
      <c r="P249" s="20"/>
      <c r="Q249" s="20"/>
      <c r="R249" s="18"/>
      <c r="S249" s="20"/>
      <c r="T249" s="20"/>
      <c r="U249" s="18"/>
      <c r="V249" s="20"/>
      <c r="W249" s="20"/>
      <c r="X249" s="18"/>
    </row>
    <row r="250" spans="3:28" ht="15" customHeight="1" x14ac:dyDescent="0.25"/>
    <row r="251" spans="3:28" ht="15" customHeight="1" x14ac:dyDescent="0.25"/>
    <row r="252" spans="3:28" ht="15" customHeight="1" x14ac:dyDescent="0.25">
      <c r="C252" s="266" t="s">
        <v>408</v>
      </c>
      <c r="D252" s="266"/>
      <c r="E252" s="266"/>
      <c r="F252" s="266"/>
      <c r="G252" s="266"/>
      <c r="H252" s="45"/>
      <c r="I252" s="28"/>
      <c r="J252" s="18"/>
      <c r="K252" s="18"/>
      <c r="L252" s="18"/>
      <c r="M252" s="18"/>
      <c r="N252" s="18"/>
      <c r="O252" s="18"/>
      <c r="P252" s="18"/>
      <c r="Q252" s="18"/>
      <c r="R252" s="18"/>
      <c r="S252" s="18"/>
      <c r="T252" s="18"/>
      <c r="U252" s="18"/>
      <c r="V252" s="18"/>
      <c r="W252" s="18"/>
      <c r="X252" s="18"/>
      <c r="Y252" s="2"/>
      <c r="Z252" s="2"/>
      <c r="AA252" s="2"/>
      <c r="AB252" s="5"/>
    </row>
    <row r="253" spans="3:28" ht="15" customHeight="1" x14ac:dyDescent="0.25">
      <c r="C253" s="28"/>
      <c r="D253" s="321" t="s">
        <v>161</v>
      </c>
      <c r="E253" s="321"/>
      <c r="F253" s="321"/>
      <c r="G253" s="187"/>
      <c r="H253" s="181"/>
      <c r="I253" s="28"/>
      <c r="J253" s="18"/>
      <c r="K253" s="18"/>
      <c r="L253" s="18"/>
      <c r="M253" s="18"/>
      <c r="N253" s="18"/>
      <c r="O253" s="18"/>
      <c r="P253" s="55"/>
      <c r="Q253" s="55"/>
      <c r="R253" s="18"/>
      <c r="S253" s="18"/>
      <c r="T253" s="18"/>
      <c r="U253" s="18"/>
      <c r="V253" s="18"/>
      <c r="W253" s="18"/>
      <c r="X253" s="18"/>
      <c r="Y253" s="5"/>
      <c r="Z253" s="104"/>
      <c r="AA253" s="104"/>
      <c r="AB253" s="104"/>
    </row>
    <row r="254" spans="3:28" ht="15" customHeight="1" x14ac:dyDescent="0.25">
      <c r="C254" s="28"/>
      <c r="D254" s="321"/>
      <c r="E254" s="321"/>
      <c r="F254" s="321"/>
      <c r="G254" s="187"/>
      <c r="H254" s="181"/>
      <c r="I254" s="28"/>
      <c r="J254" s="316" t="str">
        <f>IF(ISBLANK('(3) Variantenbewertung'!$I$11),"",'(3) Variantenbewertung'!$I$11)</f>
        <v>V1</v>
      </c>
      <c r="K254" s="316"/>
      <c r="L254" s="18"/>
      <c r="M254" s="316" t="str">
        <f>IF(ISBLANK('(3) Variantenbewertung'!$L$11),"",'(3) Variantenbewertung'!$L$11)</f>
        <v>V2</v>
      </c>
      <c r="N254" s="316"/>
      <c r="O254" s="18"/>
      <c r="P254" s="316" t="str">
        <f>IF(ISBLANK('(3) Variantenbewertung'!$O$11),"",'(3) Variantenbewertung'!$O$11)</f>
        <v>V3</v>
      </c>
      <c r="Q254" s="316"/>
      <c r="R254" s="18"/>
      <c r="S254" s="316" t="str">
        <f>IF(ISBLANK('(3) Variantenbewertung'!$R$11),"",'(3) Variantenbewertung'!$R$11)</f>
        <v/>
      </c>
      <c r="T254" s="316"/>
      <c r="U254" s="18"/>
      <c r="V254" s="316" t="str">
        <f>IF(ISBLANK('(3) Variantenbewertung'!$U$11),"",'(3) Variantenbewertung'!$U$11)</f>
        <v/>
      </c>
      <c r="W254" s="316"/>
      <c r="X254" s="17"/>
      <c r="Y254" s="5"/>
      <c r="Z254" s="104"/>
      <c r="AA254" s="104"/>
      <c r="AB254" s="104"/>
    </row>
    <row r="255" spans="3:28" ht="15" customHeight="1" x14ac:dyDescent="0.25">
      <c r="C255" s="28"/>
      <c r="D255" s="28"/>
      <c r="E255" s="27"/>
      <c r="F255" s="27"/>
      <c r="G255" s="28"/>
      <c r="H255" s="28"/>
      <c r="I255" s="28"/>
      <c r="J255" s="125" t="s">
        <v>66</v>
      </c>
      <c r="K255" s="53" t="str">
        <f>IF($E$256="Nicht vorhanden","","Bitte begründen:")</f>
        <v>Bitte begründen:</v>
      </c>
      <c r="L255" s="17"/>
      <c r="M255" s="125" t="s">
        <v>66</v>
      </c>
      <c r="N255" s="53" t="str">
        <f>IF($E$256="Nicht vorhanden","","Bitte begründen:")</f>
        <v>Bitte begründen:</v>
      </c>
      <c r="O255" s="17"/>
      <c r="P255" s="125" t="s">
        <v>66</v>
      </c>
      <c r="Q255" s="53" t="str">
        <f>IF($E$256="Nicht vorhanden","","Bitte begründen:")</f>
        <v>Bitte begründen:</v>
      </c>
      <c r="R255" s="17"/>
      <c r="S255" s="125" t="s">
        <v>66</v>
      </c>
      <c r="T255" s="53" t="str">
        <f>IF($E$256="Nicht vorhanden","","Bitte begründen:")</f>
        <v>Bitte begründen:</v>
      </c>
      <c r="U255" s="17"/>
      <c r="V255" s="125" t="s">
        <v>66</v>
      </c>
      <c r="W255" s="53" t="str">
        <f>IF($E$256="Nicht vorhanden","","Bitte begründen:")</f>
        <v>Bitte begründen:</v>
      </c>
      <c r="X255" s="17"/>
      <c r="Y255" s="5"/>
      <c r="Z255" s="6"/>
      <c r="AA255" s="6"/>
      <c r="AB255" s="5"/>
    </row>
    <row r="256" spans="3:28" ht="15" customHeight="1" x14ac:dyDescent="0.25">
      <c r="C256" s="28"/>
      <c r="D256" s="30"/>
      <c r="E256" s="298" t="s">
        <v>48</v>
      </c>
      <c r="F256" s="228"/>
      <c r="G256" s="28"/>
      <c r="H256" s="28"/>
      <c r="I256" s="28"/>
      <c r="J256" s="199"/>
      <c r="K256" s="318"/>
      <c r="L256" s="18"/>
      <c r="M256" s="199" t="s">
        <v>178</v>
      </c>
      <c r="N256" s="318"/>
      <c r="O256" s="18"/>
      <c r="P256" s="199"/>
      <c r="Q256" s="318"/>
      <c r="R256" s="20"/>
      <c r="S256" s="199"/>
      <c r="T256" s="318"/>
      <c r="U256" s="18"/>
      <c r="V256" s="199"/>
      <c r="W256" s="318"/>
      <c r="X256" s="18"/>
      <c r="Y256" s="5"/>
      <c r="Z256" s="6"/>
      <c r="AA256" s="6"/>
      <c r="AB256" s="5"/>
    </row>
    <row r="257" spans="2:28" ht="15" customHeight="1" x14ac:dyDescent="0.25">
      <c r="C257" s="36"/>
      <c r="D257" s="35"/>
      <c r="E257" s="265" t="s">
        <v>46</v>
      </c>
      <c r="F257" s="265"/>
      <c r="G257" s="28"/>
      <c r="H257" s="28"/>
      <c r="I257" s="28"/>
      <c r="J257" s="99" t="s">
        <v>178</v>
      </c>
      <c r="K257" s="319"/>
      <c r="L257" s="18"/>
      <c r="M257" s="99"/>
      <c r="N257" s="319"/>
      <c r="O257" s="18"/>
      <c r="P257" s="99" t="s">
        <v>178</v>
      </c>
      <c r="Q257" s="319"/>
      <c r="R257" s="18"/>
      <c r="S257" s="99"/>
      <c r="T257" s="319"/>
      <c r="U257" s="18"/>
      <c r="V257" s="99"/>
      <c r="W257" s="319"/>
      <c r="X257" s="18"/>
      <c r="Y257" s="67"/>
      <c r="Z257" s="6"/>
      <c r="AA257" s="6"/>
      <c r="AB257" s="5"/>
    </row>
    <row r="258" spans="2:28" ht="15" customHeight="1" x14ac:dyDescent="0.25">
      <c r="C258" s="28"/>
      <c r="D258" s="32"/>
      <c r="E258" s="265" t="s">
        <v>49</v>
      </c>
      <c r="F258" s="265"/>
      <c r="G258" s="28"/>
      <c r="H258" s="28"/>
      <c r="I258" s="28"/>
      <c r="J258" s="99"/>
      <c r="K258" s="320"/>
      <c r="L258" s="18"/>
      <c r="M258" s="99"/>
      <c r="N258" s="320"/>
      <c r="O258" s="18"/>
      <c r="P258" s="99"/>
      <c r="Q258" s="320"/>
      <c r="R258" s="18"/>
      <c r="S258" s="99"/>
      <c r="T258" s="320"/>
      <c r="U258" s="18"/>
      <c r="V258" s="99"/>
      <c r="W258" s="320"/>
      <c r="X258" s="18"/>
      <c r="Y258" s="5"/>
      <c r="Z258" s="6"/>
      <c r="AA258" s="6"/>
      <c r="AB258" s="5"/>
    </row>
    <row r="259" spans="2:28" ht="15" customHeight="1" x14ac:dyDescent="0.25">
      <c r="C259" s="28"/>
      <c r="D259" s="28"/>
      <c r="E259" s="28"/>
      <c r="F259" s="28"/>
      <c r="G259" s="28"/>
      <c r="H259" s="28"/>
      <c r="I259" s="28"/>
      <c r="J259" s="25" t="str">
        <f>IF(COUNTIF(J$256:J$258,"x")&lt;&gt;1,"FEHLER",IF(J$256="x","gut",IF(J$257="x","mässig","schlecht")))</f>
        <v>mässig</v>
      </c>
      <c r="K259" s="83"/>
      <c r="L259" s="18"/>
      <c r="M259" s="25" t="str">
        <f>IF(COUNTIF(M$256:M$258,"x")&lt;&gt;1,"FEHLER",IF(M$256="x","gut",IF(M$257="x","mässig","schlecht")))</f>
        <v>gut</v>
      </c>
      <c r="N259" s="83"/>
      <c r="O259" s="18"/>
      <c r="P259" s="25" t="str">
        <f>IF(COUNTIF(P$256:P$258,"x")&lt;&gt;1,"FEHLER",IF(P$256="x","gut",IF(P$257="x","mässig","schlecht")))</f>
        <v>mässig</v>
      </c>
      <c r="Q259" s="83"/>
      <c r="R259" s="18"/>
      <c r="S259" s="25" t="str">
        <f>IF(COUNTIF(S$256:S$258,"x")&lt;&gt;1,"FEHLER",IF(S$256="x","gut",IF(S$257="x","mässig","schlecht")))</f>
        <v>FEHLER</v>
      </c>
      <c r="T259" s="83"/>
      <c r="U259" s="18"/>
      <c r="V259" s="25" t="str">
        <f>IF(COUNTIF(V$256:V$258,"x")&lt;&gt;1,"FEHLER",IF(V$256="x","gut",IF(V$257="x","mässig","schlecht")))</f>
        <v>FEHLER</v>
      </c>
      <c r="W259" s="83"/>
      <c r="X259" s="18"/>
    </row>
    <row r="260" spans="2:28" ht="15" customHeight="1" x14ac:dyDescent="0.25">
      <c r="C260" s="28"/>
      <c r="D260" s="28"/>
      <c r="E260" s="28"/>
      <c r="F260" s="28"/>
      <c r="G260" s="28"/>
      <c r="H260" s="28"/>
      <c r="I260" s="28"/>
      <c r="J260" s="20"/>
      <c r="K260" s="20"/>
      <c r="L260" s="18"/>
      <c r="M260" s="20"/>
      <c r="N260" s="20"/>
      <c r="O260" s="18"/>
      <c r="P260" s="20"/>
      <c r="Q260" s="20"/>
      <c r="R260" s="18"/>
      <c r="S260" s="20"/>
      <c r="T260" s="20"/>
      <c r="U260" s="18"/>
      <c r="V260" s="20"/>
      <c r="W260" s="20"/>
      <c r="X260" s="18"/>
    </row>
    <row r="261" spans="2:28" ht="15" customHeight="1" x14ac:dyDescent="0.25"/>
    <row r="262" spans="2:28" ht="15" customHeight="1" x14ac:dyDescent="0.25"/>
    <row r="263" spans="2:28" ht="15" customHeight="1" x14ac:dyDescent="0.25"/>
    <row r="264" spans="2:28" ht="15" customHeight="1" x14ac:dyDescent="0.25">
      <c r="B264" s="5"/>
      <c r="C264" s="2"/>
      <c r="D264" s="2"/>
      <c r="E264" s="2"/>
      <c r="F264" s="38"/>
      <c r="G264" s="29"/>
      <c r="H264" s="29"/>
      <c r="I264" s="29"/>
      <c r="J264" s="34"/>
      <c r="K264" s="34"/>
      <c r="L264" s="34"/>
      <c r="M264" s="34"/>
      <c r="N264" s="34"/>
      <c r="O264" s="34"/>
      <c r="P264" s="34"/>
      <c r="Q264" s="34"/>
      <c r="R264" s="34"/>
      <c r="S264" s="34"/>
      <c r="T264" s="34"/>
      <c r="U264" s="34"/>
      <c r="V264" s="34"/>
      <c r="W264" s="34"/>
      <c r="X264" s="34"/>
    </row>
    <row r="265" spans="2:28" ht="15" customHeight="1" x14ac:dyDescent="0.25">
      <c r="B265" s="5"/>
      <c r="C265" s="5"/>
      <c r="D265" s="5"/>
      <c r="E265" s="5"/>
      <c r="F265" s="29"/>
      <c r="G265" s="29"/>
      <c r="H265" s="29"/>
      <c r="I265" s="29"/>
      <c r="J265" s="316" t="str">
        <f>IF(ISBLANK('(3) Variantenbewertung'!$I$11),"",'(3) Variantenbewertung'!$I$11)</f>
        <v>V1</v>
      </c>
      <c r="K265" s="316"/>
      <c r="L265" s="34"/>
      <c r="M265" s="316" t="str">
        <f>IF(ISBLANK('(3) Variantenbewertung'!$L$11),"",'(3) Variantenbewertung'!$L$11)</f>
        <v>V2</v>
      </c>
      <c r="N265" s="316"/>
      <c r="O265" s="34"/>
      <c r="P265" s="316" t="str">
        <f>IF(ISBLANK('(3) Variantenbewertung'!$O$11),"",'(3) Variantenbewertung'!$O$11)</f>
        <v>V3</v>
      </c>
      <c r="Q265" s="316"/>
      <c r="R265" s="34"/>
      <c r="S265" s="316" t="str">
        <f>IF(ISBLANK('(3) Variantenbewertung'!$R$11),"",'(3) Variantenbewertung'!$R$11)</f>
        <v/>
      </c>
      <c r="T265" s="316"/>
      <c r="U265" s="34"/>
      <c r="V265" s="316" t="str">
        <f>IF(ISBLANK('(3) Variantenbewertung'!$U$11),"",'(3) Variantenbewertung'!$U$11)</f>
        <v/>
      </c>
      <c r="W265" s="316"/>
      <c r="X265" s="34"/>
    </row>
    <row r="266" spans="2:28" ht="15" customHeight="1" x14ac:dyDescent="0.25">
      <c r="B266" s="5"/>
      <c r="C266" s="5"/>
      <c r="D266" s="5"/>
      <c r="E266" s="5"/>
      <c r="F266" s="29"/>
      <c r="G266" s="29"/>
      <c r="H266" s="29"/>
      <c r="I266" s="29"/>
      <c r="J266" s="132" t="s">
        <v>221</v>
      </c>
      <c r="K266" s="133" t="s">
        <v>222</v>
      </c>
      <c r="L266" s="24"/>
      <c r="M266" s="132" t="s">
        <v>221</v>
      </c>
      <c r="N266" s="133" t="s">
        <v>222</v>
      </c>
      <c r="O266" s="24"/>
      <c r="P266" s="132" t="s">
        <v>221</v>
      </c>
      <c r="Q266" s="133" t="s">
        <v>222</v>
      </c>
      <c r="R266" s="24"/>
      <c r="S266" s="132" t="s">
        <v>221</v>
      </c>
      <c r="T266" s="133" t="s">
        <v>222</v>
      </c>
      <c r="U266" s="24"/>
      <c r="V266" s="132" t="s">
        <v>221</v>
      </c>
      <c r="W266" s="133" t="s">
        <v>222</v>
      </c>
      <c r="X266" s="24"/>
    </row>
    <row r="267" spans="2:28" ht="15" customHeight="1" x14ac:dyDescent="0.25">
      <c r="B267" s="5"/>
      <c r="C267" s="5"/>
      <c r="D267" s="5"/>
      <c r="E267" s="5"/>
      <c r="F267" s="328" t="s">
        <v>397</v>
      </c>
      <c r="G267" s="328"/>
      <c r="H267" s="21"/>
      <c r="I267" s="29"/>
      <c r="J267" s="40" t="str">
        <f>IF(NOT(OR(COUNTIF(J200:J261,"FEHLER")&gt;=1,COUNTIF(J200:J261,"WERT?")&gt;=1)),IF(COUNTIF(J200:J261,"schlecht")&gt;=1,"schlecht",IF(COUNTIF(J200:J261,"mässig")&gt;=1,"mässig","gut")),"FEHLER")</f>
        <v>mässig</v>
      </c>
      <c r="K267" s="40" t="str">
        <f>IF(COUNTIF(K200:K261,"schlecht*")&gt;=1,"schlecht",IF(COUNTIF(K200:K261,"mässig*")&gt;=1,"mässig",IF(COUNTIF(K200:K261,"gut*")&gt;=1,"gut",J267)))</f>
        <v>mässig</v>
      </c>
      <c r="L267" s="34"/>
      <c r="M267" s="40" t="str">
        <f>IF(NOT(OR(COUNTIF(M200:M261,"FEHLER")&gt;=1,COUNTIF(M200:M261,"WERT?")&gt;=1)),IF(COUNTIF(M200:M261,"schlecht")&gt;=1,"schlecht",IF(COUNTIF(M200:M261,"mässig")&gt;=1,"mässig","gut")),"FEHLER")</f>
        <v>mässig</v>
      </c>
      <c r="N267" s="40" t="str">
        <f>IF(COUNTIF(N200:N261,"schlecht*")&gt;=1,"schlecht",IF(COUNTIF(N200:N261,"mässig*")&gt;=1,"mässig",IF(COUNTIF(N200:N261,"gut*")&gt;=1,"gut",M267)))</f>
        <v>mässig</v>
      </c>
      <c r="O267" s="34"/>
      <c r="P267" s="40" t="str">
        <f>IF(NOT(OR(COUNTIF(P200:P261,"FEHLER")&gt;=1,COUNTIF(P200:P261,"WERT?")&gt;=1)),IF(COUNTIF(P200:P261,"schlecht")&gt;=1,"schlecht",IF(COUNTIF(P200:P261,"mässig")&gt;=1,"mässig","gut")),"FEHLER")</f>
        <v>schlecht</v>
      </c>
      <c r="Q267" s="40" t="str">
        <f>IF(COUNTIF(Q200:Q261,"schlecht*")&gt;=1,"schlecht",IF(COUNTIF(Q200:Q261,"mässig*")&gt;=1,"mässig",IF(COUNTIF(Q200:Q261,"gut*")&gt;=1,"gut",P267)))</f>
        <v>gut</v>
      </c>
      <c r="R267" s="34"/>
      <c r="S267" s="40" t="str">
        <f>IF(NOT(OR(COUNTIF(S200:S261,"FEHLER")&gt;=1,COUNTIF(S200:S261,"WERT?")&gt;=1)),IF(COUNTIF(S200:S261,"schlecht")&gt;=1,"schlecht",IF(COUNTIF(S200:S261,"mässig")&gt;=1,"mässig","gut")),"FEHLER")</f>
        <v>FEHLER</v>
      </c>
      <c r="T267" s="40" t="str">
        <f>IF(COUNTIF(T200:T261,"schlecht*")&gt;=1,"schlecht",IF(COUNTIF(T200:T261,"mässig*")&gt;=1,"mässig",IF(COUNTIF(T200:T261,"gut*")&gt;=1,"gut",S267)))</f>
        <v>FEHLER</v>
      </c>
      <c r="U267" s="34"/>
      <c r="V267" s="40" t="str">
        <f>IF(NOT(OR(COUNTIF(V200:V261,"FEHLER")&gt;=1,COUNTIF(V200:V261,"WERT?")&gt;=1)),IF(COUNTIF(V200:V261,"schlecht")&gt;=1,"schlecht",IF(COUNTIF(V200:V261,"mässig")&gt;=1,"mässig","gut")),"FEHLER")</f>
        <v>FEHLER</v>
      </c>
      <c r="W267" s="40" t="str">
        <f>IF(COUNTIF(W200:W261,"schlecht*")&gt;=1,"schlecht",IF(COUNTIF(W200:W261,"mässig*")&gt;=1,"mässig",IF(COUNTIF(W200:W261,"gut*")&gt;=1,"gut",V267)))</f>
        <v>FEHLER</v>
      </c>
      <c r="X267" s="34"/>
    </row>
    <row r="268" spans="2:28" ht="15" customHeight="1" x14ac:dyDescent="0.25">
      <c r="B268" s="5"/>
      <c r="C268" s="5"/>
      <c r="D268" s="5"/>
      <c r="E268" s="5"/>
      <c r="F268" s="327" t="s">
        <v>40</v>
      </c>
      <c r="G268" s="327"/>
      <c r="H268" s="183"/>
      <c r="I268" s="29"/>
      <c r="J268" s="40">
        <f>IF(J267="FEHLER","-",IF(J267="gut",3,IF(J267="mässig",2,1)))</f>
        <v>2</v>
      </c>
      <c r="K268" s="40">
        <f>IF(K267="FEHLER","-",IF(K267="gut",3,IF(K267="mässig",2,1)))</f>
        <v>2</v>
      </c>
      <c r="L268" s="34"/>
      <c r="M268" s="40">
        <f>IF(M267="FEHLER","-",IF(M267="gut",3,IF(M267="mässig",2,1)))</f>
        <v>2</v>
      </c>
      <c r="N268" s="40">
        <f>IF(N267="FEHLER","-",IF(N267="gut",3,IF(N267="mässig",2,1)))</f>
        <v>2</v>
      </c>
      <c r="O268" s="34"/>
      <c r="P268" s="40">
        <f>IF(P267="FEHLER","-",IF(P267="gut",3,IF(P267="mässig",2,1)))</f>
        <v>1</v>
      </c>
      <c r="Q268" s="40">
        <f>IF(Q267="FEHLER","-",IF(Q267="gut",3,IF(Q267="mässig",2,1)))</f>
        <v>3</v>
      </c>
      <c r="R268" s="34"/>
      <c r="S268" s="40" t="str">
        <f>IF(S267="FEHLER","-",IF(S267="gut",3,IF(S267="mässig",2,1)))</f>
        <v>-</v>
      </c>
      <c r="T268" s="40" t="str">
        <f>IF(T267="FEHLER","-",IF(T267="gut",3,IF(T267="mässig",2,1)))</f>
        <v>-</v>
      </c>
      <c r="U268" s="34"/>
      <c r="V268" s="40" t="str">
        <f>IF(V267="FEHLER","-",IF(V267="gut",3,IF(V267="mässig",2,1)))</f>
        <v>-</v>
      </c>
      <c r="W268" s="40" t="str">
        <f>IF(W267="FEHLER","-",IF(W267="gut",3,IF(W267="mässig",2,1)))</f>
        <v>-</v>
      </c>
      <c r="X268" s="34"/>
    </row>
    <row r="269" spans="2:28" ht="15" customHeight="1" x14ac:dyDescent="0.25">
      <c r="F269" s="29"/>
      <c r="G269" s="29"/>
      <c r="H269" s="29"/>
      <c r="I269" s="29"/>
      <c r="J269" s="29"/>
      <c r="K269" s="29"/>
      <c r="L269" s="29"/>
      <c r="M269" s="29"/>
      <c r="N269" s="29"/>
      <c r="O269" s="29"/>
      <c r="P269" s="29"/>
      <c r="Q269" s="29"/>
      <c r="R269" s="29"/>
      <c r="S269" s="29"/>
      <c r="T269" s="29"/>
      <c r="U269" s="29"/>
      <c r="V269" s="29"/>
      <c r="W269" s="34"/>
      <c r="X269" s="34"/>
    </row>
  </sheetData>
  <sheetProtection algorithmName="SHA-512" hashValue="UT2iQ1yzJ+XoT1psYt/eLkrkOSJpiGjYAfh64iyEy1GImzfdzVniX81q2Eu0lqJ0iFsNM+P4es3wGRmyxmN1Iw==" saltValue="SKTjbDvNP/AtQEVZeWzz/Q==" spinCount="100000" sheet="1" objects="1" scenarios="1" formatRows="0"/>
  <mergeCells count="353">
    <mergeCell ref="D253:F254"/>
    <mergeCell ref="D242:F243"/>
    <mergeCell ref="D231:F232"/>
    <mergeCell ref="D198:F199"/>
    <mergeCell ref="D164:F165"/>
    <mergeCell ref="D129:F130"/>
    <mergeCell ref="D118:F119"/>
    <mergeCell ref="A5:X5"/>
    <mergeCell ref="A21:X21"/>
    <mergeCell ref="B25:X25"/>
    <mergeCell ref="B103:X103"/>
    <mergeCell ref="B160:X160"/>
    <mergeCell ref="B194:X194"/>
    <mergeCell ref="P221:Q221"/>
    <mergeCell ref="S221:T221"/>
    <mergeCell ref="V221:W221"/>
    <mergeCell ref="J199:K199"/>
    <mergeCell ref="M199:N199"/>
    <mergeCell ref="P199:Q199"/>
    <mergeCell ref="S199:T199"/>
    <mergeCell ref="V199:W199"/>
    <mergeCell ref="J210:K210"/>
    <mergeCell ref="M210:N210"/>
    <mergeCell ref="J108:K108"/>
    <mergeCell ref="M108:N108"/>
    <mergeCell ref="P108:Q108"/>
    <mergeCell ref="S108:T108"/>
    <mergeCell ref="K110:K112"/>
    <mergeCell ref="N110:N112"/>
    <mergeCell ref="Q110:Q112"/>
    <mergeCell ref="T110:T112"/>
    <mergeCell ref="J119:K119"/>
    <mergeCell ref="M119:N119"/>
    <mergeCell ref="P119:Q119"/>
    <mergeCell ref="S119:T119"/>
    <mergeCell ref="P242:Q242"/>
    <mergeCell ref="S242:T242"/>
    <mergeCell ref="V242:W242"/>
    <mergeCell ref="V245:V247"/>
    <mergeCell ref="S187:T187"/>
    <mergeCell ref="M189:N189"/>
    <mergeCell ref="M188:N188"/>
    <mergeCell ref="T201:T203"/>
    <mergeCell ref="S188:T188"/>
    <mergeCell ref="P189:Q189"/>
    <mergeCell ref="P188:Q188"/>
    <mergeCell ref="W201:W203"/>
    <mergeCell ref="J152:K152"/>
    <mergeCell ref="M152:N152"/>
    <mergeCell ref="P152:Q152"/>
    <mergeCell ref="S152:T152"/>
    <mergeCell ref="V152:W152"/>
    <mergeCell ref="J189:K189"/>
    <mergeCell ref="J188:K188"/>
    <mergeCell ref="J165:K165"/>
    <mergeCell ref="M165:N165"/>
    <mergeCell ref="P165:Q165"/>
    <mergeCell ref="S165:T165"/>
    <mergeCell ref="V165:W165"/>
    <mergeCell ref="J176:K176"/>
    <mergeCell ref="M176:N176"/>
    <mergeCell ref="P176:Q176"/>
    <mergeCell ref="S176:T176"/>
    <mergeCell ref="V176:W176"/>
    <mergeCell ref="V187:W187"/>
    <mergeCell ref="V189:W189"/>
    <mergeCell ref="V188:W188"/>
    <mergeCell ref="S189:T189"/>
    <mergeCell ref="J85:K85"/>
    <mergeCell ref="M85:N85"/>
    <mergeCell ref="P85:Q85"/>
    <mergeCell ref="S85:T85"/>
    <mergeCell ref="V85:W85"/>
    <mergeCell ref="T76:T78"/>
    <mergeCell ref="W76:W78"/>
    <mergeCell ref="K76:K78"/>
    <mergeCell ref="N76:N78"/>
    <mergeCell ref="Q76:Q78"/>
    <mergeCell ref="V9:W9"/>
    <mergeCell ref="J30:K30"/>
    <mergeCell ref="P30:Q30"/>
    <mergeCell ref="M30:N30"/>
    <mergeCell ref="S30:T30"/>
    <mergeCell ref="V30:W30"/>
    <mergeCell ref="J74:K74"/>
    <mergeCell ref="M74:N74"/>
    <mergeCell ref="P74:Q74"/>
    <mergeCell ref="S74:T74"/>
    <mergeCell ref="V74:W74"/>
    <mergeCell ref="C72:F72"/>
    <mergeCell ref="D73:G74"/>
    <mergeCell ref="E66:F66"/>
    <mergeCell ref="E67:F67"/>
    <mergeCell ref="E54:F54"/>
    <mergeCell ref="J9:K9"/>
    <mergeCell ref="M9:N9"/>
    <mergeCell ref="P9:Q9"/>
    <mergeCell ref="S9:T9"/>
    <mergeCell ref="C106:F106"/>
    <mergeCell ref="F97:G97"/>
    <mergeCell ref="F98:G98"/>
    <mergeCell ref="E77:F77"/>
    <mergeCell ref="E78:F78"/>
    <mergeCell ref="C83:F83"/>
    <mergeCell ref="D84:G85"/>
    <mergeCell ref="E88:F88"/>
    <mergeCell ref="E89:F89"/>
    <mergeCell ref="D51:G52"/>
    <mergeCell ref="D62:G63"/>
    <mergeCell ref="E14:F14"/>
    <mergeCell ref="E11:F11"/>
    <mergeCell ref="E12:F12"/>
    <mergeCell ref="E13:F13"/>
    <mergeCell ref="E48:F48"/>
    <mergeCell ref="C50:F50"/>
    <mergeCell ref="E33:F33"/>
    <mergeCell ref="E34:F34"/>
    <mergeCell ref="Q65:Q67"/>
    <mergeCell ref="P41:Q41"/>
    <mergeCell ref="S41:T41"/>
    <mergeCell ref="V41:W41"/>
    <mergeCell ref="J52:K52"/>
    <mergeCell ref="M52:N52"/>
    <mergeCell ref="P52:Q52"/>
    <mergeCell ref="S52:T52"/>
    <mergeCell ref="V52:W52"/>
    <mergeCell ref="J63:K63"/>
    <mergeCell ref="M63:N63"/>
    <mergeCell ref="P63:Q63"/>
    <mergeCell ref="S63:T63"/>
    <mergeCell ref="V63:W63"/>
    <mergeCell ref="T43:T45"/>
    <mergeCell ref="W43:W45"/>
    <mergeCell ref="C28:F28"/>
    <mergeCell ref="J41:K41"/>
    <mergeCell ref="M41:N41"/>
    <mergeCell ref="K32:K34"/>
    <mergeCell ref="N32:N34"/>
    <mergeCell ref="Q32:Q34"/>
    <mergeCell ref="T32:T34"/>
    <mergeCell ref="W32:W34"/>
    <mergeCell ref="E44:F44"/>
    <mergeCell ref="E45:F45"/>
    <mergeCell ref="K43:K45"/>
    <mergeCell ref="P98:Q98"/>
    <mergeCell ref="P97:Q97"/>
    <mergeCell ref="M98:N98"/>
    <mergeCell ref="M97:N97"/>
    <mergeCell ref="J98:K98"/>
    <mergeCell ref="A3:D3"/>
    <mergeCell ref="T65:T67"/>
    <mergeCell ref="W65:W67"/>
    <mergeCell ref="C61:F61"/>
    <mergeCell ref="E55:F55"/>
    <mergeCell ref="E56:F56"/>
    <mergeCell ref="K54:K56"/>
    <mergeCell ref="N54:N56"/>
    <mergeCell ref="Q54:Q56"/>
    <mergeCell ref="T54:T56"/>
    <mergeCell ref="W54:W56"/>
    <mergeCell ref="C27:G27"/>
    <mergeCell ref="E32:F32"/>
    <mergeCell ref="C39:F39"/>
    <mergeCell ref="E43:F43"/>
    <mergeCell ref="D29:G30"/>
    <mergeCell ref="D40:G41"/>
    <mergeCell ref="N43:N45"/>
    <mergeCell ref="Q43:Q45"/>
    <mergeCell ref="V119:W119"/>
    <mergeCell ref="K87:K89"/>
    <mergeCell ref="N87:N89"/>
    <mergeCell ref="Q87:Q89"/>
    <mergeCell ref="T87:T89"/>
    <mergeCell ref="W87:W89"/>
    <mergeCell ref="J97:K97"/>
    <mergeCell ref="V108:W108"/>
    <mergeCell ref="E110:F110"/>
    <mergeCell ref="E115:F115"/>
    <mergeCell ref="C117:F117"/>
    <mergeCell ref="W110:W112"/>
    <mergeCell ref="E111:F111"/>
    <mergeCell ref="E112:F112"/>
    <mergeCell ref="D107:G108"/>
    <mergeCell ref="J96:K96"/>
    <mergeCell ref="M96:N96"/>
    <mergeCell ref="P96:Q96"/>
    <mergeCell ref="S96:T96"/>
    <mergeCell ref="V96:W96"/>
    <mergeCell ref="V98:W98"/>
    <mergeCell ref="V97:W97"/>
    <mergeCell ref="S98:T98"/>
    <mergeCell ref="S97:T97"/>
    <mergeCell ref="E121:F121"/>
    <mergeCell ref="E132:F132"/>
    <mergeCell ref="K132:K134"/>
    <mergeCell ref="N132:N134"/>
    <mergeCell ref="V132:V134"/>
    <mergeCell ref="S132:S134"/>
    <mergeCell ref="P132:P134"/>
    <mergeCell ref="M132:M134"/>
    <mergeCell ref="J132:J134"/>
    <mergeCell ref="J129:K129"/>
    <mergeCell ref="M129:N129"/>
    <mergeCell ref="P129:Q129"/>
    <mergeCell ref="S129:T129"/>
    <mergeCell ref="V129:W129"/>
    <mergeCell ref="T121:T123"/>
    <mergeCell ref="W121:W123"/>
    <mergeCell ref="E122:F122"/>
    <mergeCell ref="E123:F123"/>
    <mergeCell ref="K121:K123"/>
    <mergeCell ref="N121:N123"/>
    <mergeCell ref="Q121:Q123"/>
    <mergeCell ref="E202:F202"/>
    <mergeCell ref="E203:F203"/>
    <mergeCell ref="E217:F217"/>
    <mergeCell ref="T212:T214"/>
    <mergeCell ref="W212:W214"/>
    <mergeCell ref="D220:G221"/>
    <mergeCell ref="C219:G219"/>
    <mergeCell ref="D209:G210"/>
    <mergeCell ref="E213:F213"/>
    <mergeCell ref="K201:K203"/>
    <mergeCell ref="N201:N203"/>
    <mergeCell ref="C208:G208"/>
    <mergeCell ref="E212:F212"/>
    <mergeCell ref="K212:K214"/>
    <mergeCell ref="J221:K221"/>
    <mergeCell ref="M221:N221"/>
    <mergeCell ref="S210:T210"/>
    <mergeCell ref="V210:W210"/>
    <mergeCell ref="P210:Q210"/>
    <mergeCell ref="Q201:Q203"/>
    <mergeCell ref="E214:F214"/>
    <mergeCell ref="N212:N214"/>
    <mergeCell ref="Q212:Q214"/>
    <mergeCell ref="E201:F201"/>
    <mergeCell ref="F268:G268"/>
    <mergeCell ref="K256:K258"/>
    <mergeCell ref="N256:N258"/>
    <mergeCell ref="Q256:Q258"/>
    <mergeCell ref="K245:K247"/>
    <mergeCell ref="N245:N247"/>
    <mergeCell ref="Q245:Q247"/>
    <mergeCell ref="T245:T247"/>
    <mergeCell ref="F267:G267"/>
    <mergeCell ref="E245:F245"/>
    <mergeCell ref="J245:J247"/>
    <mergeCell ref="M245:M247"/>
    <mergeCell ref="P245:P247"/>
    <mergeCell ref="S245:S247"/>
    <mergeCell ref="T256:T258"/>
    <mergeCell ref="E246:F246"/>
    <mergeCell ref="E247:F247"/>
    <mergeCell ref="J265:K265"/>
    <mergeCell ref="M265:N265"/>
    <mergeCell ref="P265:Q265"/>
    <mergeCell ref="S265:T265"/>
    <mergeCell ref="C252:G252"/>
    <mergeCell ref="E256:F256"/>
    <mergeCell ref="J254:K254"/>
    <mergeCell ref="K65:K67"/>
    <mergeCell ref="N65:N67"/>
    <mergeCell ref="W256:W258"/>
    <mergeCell ref="E257:F257"/>
    <mergeCell ref="E258:F258"/>
    <mergeCell ref="W245:W247"/>
    <mergeCell ref="T234:T236"/>
    <mergeCell ref="W234:W236"/>
    <mergeCell ref="E235:F235"/>
    <mergeCell ref="E236:F236"/>
    <mergeCell ref="C241:F241"/>
    <mergeCell ref="J234:J236"/>
    <mergeCell ref="M234:M236"/>
    <mergeCell ref="P234:P236"/>
    <mergeCell ref="S234:S236"/>
    <mergeCell ref="E234:F234"/>
    <mergeCell ref="Q223:Q225"/>
    <mergeCell ref="E65:F65"/>
    <mergeCell ref="E76:F76"/>
    <mergeCell ref="E87:F87"/>
    <mergeCell ref="K143:K145"/>
    <mergeCell ref="N143:N145"/>
    <mergeCell ref="Q143:Q145"/>
    <mergeCell ref="D140:G141"/>
    <mergeCell ref="V265:W265"/>
    <mergeCell ref="T223:T225"/>
    <mergeCell ref="W223:W225"/>
    <mergeCell ref="E224:F224"/>
    <mergeCell ref="E225:F225"/>
    <mergeCell ref="K234:K236"/>
    <mergeCell ref="N234:N236"/>
    <mergeCell ref="Q234:Q236"/>
    <mergeCell ref="V234:V236"/>
    <mergeCell ref="C230:F230"/>
    <mergeCell ref="E223:F223"/>
    <mergeCell ref="K223:K225"/>
    <mergeCell ref="N223:N225"/>
    <mergeCell ref="M254:N254"/>
    <mergeCell ref="P254:Q254"/>
    <mergeCell ref="S254:T254"/>
    <mergeCell ref="V254:W254"/>
    <mergeCell ref="J231:K231"/>
    <mergeCell ref="M231:N231"/>
    <mergeCell ref="P231:Q231"/>
    <mergeCell ref="S231:T231"/>
    <mergeCell ref="V231:W231"/>
    <mergeCell ref="J242:K242"/>
    <mergeCell ref="M242:N242"/>
    <mergeCell ref="W178:W180"/>
    <mergeCell ref="F154:G154"/>
    <mergeCell ref="F155:G155"/>
    <mergeCell ref="Q132:Q134"/>
    <mergeCell ref="T132:T134"/>
    <mergeCell ref="W132:W134"/>
    <mergeCell ref="C139:F139"/>
    <mergeCell ref="E133:F133"/>
    <mergeCell ref="E134:F134"/>
    <mergeCell ref="J141:K141"/>
    <mergeCell ref="M141:N141"/>
    <mergeCell ref="P141:Q141"/>
    <mergeCell ref="S141:T141"/>
    <mergeCell ref="V141:W141"/>
    <mergeCell ref="T167:T169"/>
    <mergeCell ref="W167:W169"/>
    <mergeCell ref="W143:W145"/>
    <mergeCell ref="Q167:Q169"/>
    <mergeCell ref="E167:F167"/>
    <mergeCell ref="C197:G197"/>
    <mergeCell ref="P187:Q187"/>
    <mergeCell ref="E143:F143"/>
    <mergeCell ref="T143:T145"/>
    <mergeCell ref="E144:F144"/>
    <mergeCell ref="E145:F145"/>
    <mergeCell ref="C128:F128"/>
    <mergeCell ref="N178:N180"/>
    <mergeCell ref="Q178:Q180"/>
    <mergeCell ref="T178:T180"/>
    <mergeCell ref="C163:F163"/>
    <mergeCell ref="E179:F179"/>
    <mergeCell ref="E180:F180"/>
    <mergeCell ref="K178:K180"/>
    <mergeCell ref="F188:G188"/>
    <mergeCell ref="F189:G189"/>
    <mergeCell ref="E178:F178"/>
    <mergeCell ref="J187:K187"/>
    <mergeCell ref="M187:N187"/>
    <mergeCell ref="E168:F168"/>
    <mergeCell ref="E169:F169"/>
    <mergeCell ref="C174:F174"/>
    <mergeCell ref="D175:G176"/>
    <mergeCell ref="K167:K169"/>
    <mergeCell ref="N167:N169"/>
  </mergeCells>
  <conditionalFormatting sqref="G11:G14">
    <cfRule type="cellIs" dxfId="1141" priority="132" operator="equal">
      <formula>"schlecht"</formula>
    </cfRule>
    <cfRule type="cellIs" dxfId="1140" priority="131" operator="equal">
      <formula>"gut"</formula>
    </cfRule>
    <cfRule type="cellIs" dxfId="1139" priority="130" operator="equal">
      <formula>"mässig"</formula>
    </cfRule>
  </conditionalFormatting>
  <conditionalFormatting sqref="H10:H14">
    <cfRule type="cellIs" dxfId="1138" priority="1" operator="equal">
      <formula>"mässig"</formula>
    </cfRule>
    <cfRule type="cellIs" dxfId="1137" priority="2" operator="equal">
      <formula>"gut"</formula>
    </cfRule>
    <cfRule type="cellIs" dxfId="1136" priority="3" operator="equal">
      <formula>"schlecht"</formula>
    </cfRule>
  </conditionalFormatting>
  <conditionalFormatting sqref="I242:J243">
    <cfRule type="cellIs" dxfId="1135" priority="217" operator="equal">
      <formula>"schlecht"</formula>
    </cfRule>
    <cfRule type="cellIs" dxfId="1134" priority="216" operator="equal">
      <formula>"gut"</formula>
    </cfRule>
    <cfRule type="cellIs" dxfId="1133" priority="215" operator="equal">
      <formula>"mässig"</formula>
    </cfRule>
  </conditionalFormatting>
  <conditionalFormatting sqref="J9:J10">
    <cfRule type="cellIs" dxfId="1132" priority="337" operator="equal">
      <formula>"schlecht"</formula>
    </cfRule>
    <cfRule type="cellIs" dxfId="1131" priority="335" operator="equal">
      <formula>"mässig"</formula>
    </cfRule>
    <cfRule type="cellIs" dxfId="1130" priority="336" operator="equal">
      <formula>"gut"</formula>
    </cfRule>
  </conditionalFormatting>
  <conditionalFormatting sqref="J16">
    <cfRule type="cellIs" dxfId="1129" priority="1375" operator="equal">
      <formula>"schlecht"</formula>
    </cfRule>
    <cfRule type="cellIs" dxfId="1128" priority="1374" operator="equal">
      <formula>"gut"</formula>
    </cfRule>
    <cfRule type="cellIs" dxfId="1127" priority="1373" operator="equal">
      <formula>"mässig"</formula>
    </cfRule>
  </conditionalFormatting>
  <conditionalFormatting sqref="J30">
    <cfRule type="cellIs" dxfId="1126" priority="1153" operator="equal">
      <formula>"schlecht"</formula>
    </cfRule>
    <cfRule type="cellIs" dxfId="1125" priority="1152" operator="equal">
      <formula>"gut"</formula>
    </cfRule>
    <cfRule type="cellIs" dxfId="1124" priority="1151" operator="equal">
      <formula>"mässig"</formula>
    </cfRule>
  </conditionalFormatting>
  <conditionalFormatting sqref="J41">
    <cfRule type="cellIs" dxfId="1123" priority="1105" operator="equal">
      <formula>"schlecht"</formula>
    </cfRule>
    <cfRule type="cellIs" dxfId="1122" priority="1104" operator="equal">
      <formula>"gut"</formula>
    </cfRule>
    <cfRule type="cellIs" dxfId="1121" priority="1103" operator="equal">
      <formula>"mässig"</formula>
    </cfRule>
  </conditionalFormatting>
  <conditionalFormatting sqref="J52">
    <cfRule type="cellIs" dxfId="1120" priority="1056" operator="equal">
      <formula>"gut"</formula>
    </cfRule>
    <cfRule type="cellIs" dxfId="1119" priority="1057" operator="equal">
      <formula>"schlecht"</formula>
    </cfRule>
    <cfRule type="cellIs" dxfId="1118" priority="1055" operator="equal">
      <formula>"mässig"</formula>
    </cfRule>
  </conditionalFormatting>
  <conditionalFormatting sqref="J63">
    <cfRule type="cellIs" dxfId="1117" priority="1007" operator="equal">
      <formula>"mässig"</formula>
    </cfRule>
    <cfRule type="cellIs" dxfId="1116" priority="1008" operator="equal">
      <formula>"gut"</formula>
    </cfRule>
    <cfRule type="cellIs" dxfId="1115" priority="1009" operator="equal">
      <formula>"schlecht"</formula>
    </cfRule>
  </conditionalFormatting>
  <conditionalFormatting sqref="J74">
    <cfRule type="cellIs" dxfId="1114" priority="959" operator="equal">
      <formula>"mässig"</formula>
    </cfRule>
    <cfRule type="cellIs" dxfId="1113" priority="960" operator="equal">
      <formula>"gut"</formula>
    </cfRule>
    <cfRule type="cellIs" dxfId="1112" priority="961" operator="equal">
      <formula>"schlecht"</formula>
    </cfRule>
  </conditionalFormatting>
  <conditionalFormatting sqref="J85">
    <cfRule type="cellIs" dxfId="1111" priority="912" operator="equal">
      <formula>"gut"</formula>
    </cfRule>
    <cfRule type="cellIs" dxfId="1110" priority="911" operator="equal">
      <formula>"mässig"</formula>
    </cfRule>
    <cfRule type="cellIs" dxfId="1109" priority="913" operator="equal">
      <formula>"schlecht"</formula>
    </cfRule>
  </conditionalFormatting>
  <conditionalFormatting sqref="J96:J97">
    <cfRule type="cellIs" dxfId="1108" priority="591" operator="equal">
      <formula>"gut"</formula>
    </cfRule>
    <cfRule type="cellIs" dxfId="1107" priority="590" operator="equal">
      <formula>"mässig"</formula>
    </cfRule>
    <cfRule type="cellIs" dxfId="1106" priority="592" operator="equal">
      <formula>"schlecht"</formula>
    </cfRule>
  </conditionalFormatting>
  <conditionalFormatting sqref="J98">
    <cfRule type="cellIs" dxfId="1105" priority="5320" operator="equal">
      <formula>3</formula>
    </cfRule>
    <cfRule type="cellIs" dxfId="1104" priority="5321" operator="equal">
      <formula>1</formula>
    </cfRule>
    <cfRule type="cellIs" dxfId="1103" priority="5319" operator="equal">
      <formula>2</formula>
    </cfRule>
  </conditionalFormatting>
  <conditionalFormatting sqref="J108">
    <cfRule type="cellIs" dxfId="1102" priority="760" operator="equal">
      <formula>"schlecht"</formula>
    </cfRule>
    <cfRule type="cellIs" dxfId="1101" priority="759" operator="equal">
      <formula>"gut"</formula>
    </cfRule>
    <cfRule type="cellIs" dxfId="1100" priority="758" operator="equal">
      <formula>"mässig"</formula>
    </cfRule>
  </conditionalFormatting>
  <conditionalFormatting sqref="J119">
    <cfRule type="cellIs" dxfId="1099" priority="745" operator="equal">
      <formula>"schlecht"</formula>
    </cfRule>
    <cfRule type="cellIs" dxfId="1098" priority="744" operator="equal">
      <formula>"gut"</formula>
    </cfRule>
    <cfRule type="cellIs" dxfId="1097" priority="743" operator="equal">
      <formula>"mässig"</formula>
    </cfRule>
  </conditionalFormatting>
  <conditionalFormatting sqref="J129:J130">
    <cfRule type="cellIs" dxfId="1096" priority="307" operator="equal">
      <formula>"schlecht"</formula>
    </cfRule>
    <cfRule type="cellIs" dxfId="1095" priority="305" operator="equal">
      <formula>"mässig"</formula>
    </cfRule>
    <cfRule type="cellIs" dxfId="1094" priority="306" operator="equal">
      <formula>"gut"</formula>
    </cfRule>
  </conditionalFormatting>
  <conditionalFormatting sqref="J141">
    <cfRule type="cellIs" dxfId="1093" priority="711" operator="equal">
      <formula>"gut"</formula>
    </cfRule>
    <cfRule type="cellIs" dxfId="1092" priority="710" operator="equal">
      <formula>"mässig"</formula>
    </cfRule>
    <cfRule type="cellIs" dxfId="1091" priority="712" operator="equal">
      <formula>"schlecht"</formula>
    </cfRule>
  </conditionalFormatting>
  <conditionalFormatting sqref="J152:J153">
    <cfRule type="cellIs" dxfId="1090" priority="277" operator="equal">
      <formula>"schlecht"</formula>
    </cfRule>
    <cfRule type="cellIs" dxfId="1089" priority="275" operator="equal">
      <formula>"mässig"</formula>
    </cfRule>
    <cfRule type="cellIs" dxfId="1088" priority="276" operator="equal">
      <formula>"gut"</formula>
    </cfRule>
  </conditionalFormatting>
  <conditionalFormatting sqref="J165">
    <cfRule type="cellIs" dxfId="1087" priority="620" operator="equal">
      <formula>"mässig"</formula>
    </cfRule>
    <cfRule type="cellIs" dxfId="1086" priority="621" operator="equal">
      <formula>"gut"</formula>
    </cfRule>
    <cfRule type="cellIs" dxfId="1085" priority="622" operator="equal">
      <formula>"schlecht"</formula>
    </cfRule>
  </conditionalFormatting>
  <conditionalFormatting sqref="J176">
    <cfRule type="cellIs" dxfId="1084" priority="605" operator="equal">
      <formula>"mässig"</formula>
    </cfRule>
    <cfRule type="cellIs" dxfId="1083" priority="606" operator="equal">
      <formula>"gut"</formula>
    </cfRule>
    <cfRule type="cellIs" dxfId="1082" priority="607" operator="equal">
      <formula>"schlecht"</formula>
    </cfRule>
  </conditionalFormatting>
  <conditionalFormatting sqref="J187:J188">
    <cfRule type="cellIs" dxfId="1081" priority="575" operator="equal">
      <formula>"mässig"</formula>
    </cfRule>
    <cfRule type="cellIs" dxfId="1080" priority="577" operator="equal">
      <formula>"schlecht"</formula>
    </cfRule>
    <cfRule type="cellIs" dxfId="1079" priority="576" operator="equal">
      <formula>"gut"</formula>
    </cfRule>
  </conditionalFormatting>
  <conditionalFormatting sqref="J189">
    <cfRule type="cellIs" dxfId="1078" priority="3656" operator="equal">
      <formula>1</formula>
    </cfRule>
    <cfRule type="cellIs" dxfId="1077" priority="3654" operator="equal">
      <formula>2</formula>
    </cfRule>
    <cfRule type="cellIs" dxfId="1076" priority="3655" operator="equal">
      <formula>3</formula>
    </cfRule>
  </conditionalFormatting>
  <conditionalFormatting sqref="J199">
    <cfRule type="cellIs" dxfId="1075" priority="560" operator="equal">
      <formula>"mässig"</formula>
    </cfRule>
    <cfRule type="cellIs" dxfId="1074" priority="561" operator="equal">
      <formula>"gut"</formula>
    </cfRule>
    <cfRule type="cellIs" dxfId="1073" priority="562" operator="equal">
      <formula>"schlecht"</formula>
    </cfRule>
  </conditionalFormatting>
  <conditionalFormatting sqref="J210">
    <cfRule type="cellIs" dxfId="1072" priority="545" operator="equal">
      <formula>"mässig"</formula>
    </cfRule>
    <cfRule type="cellIs" dxfId="1071" priority="546" operator="equal">
      <formula>"gut"</formula>
    </cfRule>
    <cfRule type="cellIs" dxfId="1070" priority="547" operator="equal">
      <formula>"schlecht"</formula>
    </cfRule>
  </conditionalFormatting>
  <conditionalFormatting sqref="J221">
    <cfRule type="cellIs" dxfId="1069" priority="532" operator="equal">
      <formula>"schlecht"</formula>
    </cfRule>
    <cfRule type="cellIs" dxfId="1068" priority="531" operator="equal">
      <formula>"gut"</formula>
    </cfRule>
    <cfRule type="cellIs" dxfId="1067" priority="530" operator="equal">
      <formula>"mässig"</formula>
    </cfRule>
  </conditionalFormatting>
  <conditionalFormatting sqref="J231:J232">
    <cfRule type="cellIs" dxfId="1066" priority="246" operator="equal">
      <formula>"gut"</formula>
    </cfRule>
    <cfRule type="cellIs" dxfId="1065" priority="245" operator="equal">
      <formula>"mässig"</formula>
    </cfRule>
    <cfRule type="cellIs" dxfId="1064" priority="247" operator="equal">
      <formula>"schlecht"</formula>
    </cfRule>
  </conditionalFormatting>
  <conditionalFormatting sqref="J254">
    <cfRule type="cellIs" dxfId="1063" priority="500" operator="equal">
      <formula>"mässig"</formula>
    </cfRule>
    <cfRule type="cellIs" dxfId="1062" priority="501" operator="equal">
      <formula>"gut"</formula>
    </cfRule>
    <cfRule type="cellIs" dxfId="1061" priority="502" operator="equal">
      <formula>"schlecht"</formula>
    </cfRule>
  </conditionalFormatting>
  <conditionalFormatting sqref="J265:J266">
    <cfRule type="cellIs" dxfId="1060" priority="187" operator="equal">
      <formula>"schlecht"</formula>
    </cfRule>
    <cfRule type="cellIs" dxfId="1059" priority="185" operator="equal">
      <formula>"mässig"</formula>
    </cfRule>
    <cfRule type="cellIs" dxfId="1058" priority="186" operator="equal">
      <formula>"gut"</formula>
    </cfRule>
  </conditionalFormatting>
  <conditionalFormatting sqref="J42:K42">
    <cfRule type="cellIs" dxfId="1055" priority="2325" operator="equal">
      <formula>"mässig"</formula>
    </cfRule>
    <cfRule type="cellIs" dxfId="1054" priority="2327" operator="equal">
      <formula>"schlecht"</formula>
    </cfRule>
    <cfRule type="cellIs" dxfId="1053" priority="2326" operator="equal">
      <formula>"gut"</formula>
    </cfRule>
  </conditionalFormatting>
  <conditionalFormatting sqref="J43:K45 M43:N45 P43:Q45 S43:T45 V43:W45">
    <cfRule type="expression" dxfId="1052" priority="2432">
      <formula>$E$43 = "Nicht vorhanden"</formula>
    </cfRule>
  </conditionalFormatting>
  <conditionalFormatting sqref="J53:K53">
    <cfRule type="cellIs" dxfId="1051" priority="2310" operator="equal">
      <formula>"mässig"</formula>
    </cfRule>
    <cfRule type="cellIs" dxfId="1050" priority="2311" operator="equal">
      <formula>"gut"</formula>
    </cfRule>
    <cfRule type="cellIs" dxfId="1049" priority="2312" operator="equal">
      <formula>"schlecht"</formula>
    </cfRule>
  </conditionalFormatting>
  <conditionalFormatting sqref="J54:K56 M54:N56 P54:Q56 S54:T56 V54:W56">
    <cfRule type="expression" dxfId="1048" priority="2509">
      <formula>$E$54 = "Nicht vorhanden"</formula>
    </cfRule>
  </conditionalFormatting>
  <conditionalFormatting sqref="J64:K64">
    <cfRule type="cellIs" dxfId="1047" priority="2297" operator="equal">
      <formula>"schlecht"</formula>
    </cfRule>
    <cfRule type="cellIs" dxfId="1046" priority="2296" operator="equal">
      <formula>"gut"</formula>
    </cfRule>
    <cfRule type="cellIs" dxfId="1045" priority="2295" operator="equal">
      <formula>"mässig"</formula>
    </cfRule>
  </conditionalFormatting>
  <conditionalFormatting sqref="J65:K67 M65:N67 P65:Q67 S65:T67 V65:W67">
    <cfRule type="expression" dxfId="1044" priority="2431">
      <formula>$E$65 = "Nicht vorhanden"</formula>
    </cfRule>
  </conditionalFormatting>
  <conditionalFormatting sqref="J75:K75">
    <cfRule type="cellIs" dxfId="1043" priority="2282" operator="equal">
      <formula>"schlecht"</formula>
    </cfRule>
    <cfRule type="cellIs" dxfId="1042" priority="2280" operator="equal">
      <formula>"mässig"</formula>
    </cfRule>
    <cfRule type="cellIs" dxfId="1041" priority="2281" operator="equal">
      <formula>"gut"</formula>
    </cfRule>
  </conditionalFormatting>
  <conditionalFormatting sqref="J76:K78 M76:N78 P76:Q78 S76:T78 V76:W78">
    <cfRule type="expression" dxfId="1040" priority="2430">
      <formula>$E$76 = "Nicht vorhanden"</formula>
    </cfRule>
  </conditionalFormatting>
  <conditionalFormatting sqref="J86:K86">
    <cfRule type="cellIs" dxfId="1039" priority="2265" operator="equal">
      <formula>"mässig"</formula>
    </cfRule>
    <cfRule type="cellIs" dxfId="1038" priority="2267" operator="equal">
      <formula>"schlecht"</formula>
    </cfRule>
    <cfRule type="cellIs" dxfId="1037" priority="2266" operator="equal">
      <formula>"gut"</formula>
    </cfRule>
  </conditionalFormatting>
  <conditionalFormatting sqref="J87:K89 M87:N89 P87:Q89 S87:T89 V87:W89">
    <cfRule type="expression" dxfId="1036" priority="2429">
      <formula>$E$87 = "Nicht vorhanden"</formula>
    </cfRule>
  </conditionalFormatting>
  <conditionalFormatting sqref="J110:K112 M110:N112 P110:Q112 S110:T112 V110:W112">
    <cfRule type="expression" dxfId="1035" priority="2428">
      <formula>$E$110 = "Nicht vorhanden"</formula>
    </cfRule>
  </conditionalFormatting>
  <conditionalFormatting sqref="J132:K132 M132:N132 P132:Q132 S132:T132 V132:W132">
    <cfRule type="expression" dxfId="1034" priority="2427">
      <formula>$E$132 = "Nicht vorhanden"</formula>
    </cfRule>
  </conditionalFormatting>
  <conditionalFormatting sqref="J143:K145 M143:N145 P143:Q145 S143:T145 V143:W145">
    <cfRule type="expression" dxfId="1033" priority="2426">
      <formula>$E$143 = "Nicht vorhanden"</formula>
    </cfRule>
  </conditionalFormatting>
  <conditionalFormatting sqref="J154:K154">
    <cfRule type="cellIs" dxfId="1032" priority="1946" operator="equal">
      <formula>"schlecht"</formula>
    </cfRule>
    <cfRule type="cellIs" dxfId="1031" priority="1947" operator="equal">
      <formula>"gut"</formula>
    </cfRule>
    <cfRule type="cellIs" dxfId="1030" priority="1948" operator="equal">
      <formula>"mässig"</formula>
    </cfRule>
  </conditionalFormatting>
  <conditionalFormatting sqref="J155:K155">
    <cfRule type="cellIs" dxfId="1029" priority="2060" operator="equal">
      <formula>2</formula>
    </cfRule>
    <cfRule type="cellIs" dxfId="1028" priority="2062" operator="equal">
      <formula>1</formula>
    </cfRule>
    <cfRule type="cellIs" dxfId="1027" priority="2061" operator="equal">
      <formula>3</formula>
    </cfRule>
  </conditionalFormatting>
  <conditionalFormatting sqref="J248:K248">
    <cfRule type="cellIs" dxfId="1026" priority="2898" operator="equal">
      <formula>"mässig"</formula>
    </cfRule>
    <cfRule type="cellIs" dxfId="1025" priority="2899" operator="equal">
      <formula>"gut"</formula>
    </cfRule>
    <cfRule type="cellIs" dxfId="1024" priority="2900" operator="equal">
      <formula>"schlecht"</formula>
    </cfRule>
  </conditionalFormatting>
  <conditionalFormatting sqref="J267:K267">
    <cfRule type="cellIs" dxfId="1023" priority="3080" operator="equal">
      <formula>"mässig"</formula>
    </cfRule>
    <cfRule type="cellIs" dxfId="1022" priority="3079" operator="equal">
      <formula>"gut"</formula>
    </cfRule>
    <cfRule type="cellIs" dxfId="1021" priority="3078" operator="equal">
      <formula>"schlecht"</formula>
    </cfRule>
  </conditionalFormatting>
  <conditionalFormatting sqref="J268:K268">
    <cfRule type="cellIs" dxfId="1020" priority="3216" operator="equal">
      <formula>2</formula>
    </cfRule>
    <cfRule type="cellIs" dxfId="1019" priority="3217" operator="equal">
      <formula>3</formula>
    </cfRule>
    <cfRule type="cellIs" dxfId="1018" priority="3218" operator="equal">
      <formula>1</formula>
    </cfRule>
  </conditionalFormatting>
  <conditionalFormatting sqref="J30:W35">
    <cfRule type="expression" dxfId="1017" priority="95">
      <formula>$E$32="Nicht vorhanden"</formula>
    </cfRule>
  </conditionalFormatting>
  <conditionalFormatting sqref="J35:W35">
    <cfRule type="cellIs" dxfId="1016" priority="103" operator="equal">
      <formula>"mässig"</formula>
    </cfRule>
    <cfRule type="cellIs" dxfId="1015" priority="101" operator="equal">
      <formula>"schlecht"</formula>
    </cfRule>
    <cfRule type="cellIs" dxfId="1014" priority="102" operator="equal">
      <formula>"gut"</formula>
    </cfRule>
  </conditionalFormatting>
  <conditionalFormatting sqref="J41:W46">
    <cfRule type="expression" dxfId="1013" priority="94">
      <formula>$E$43="Nicht vorhanden"</formula>
    </cfRule>
  </conditionalFormatting>
  <conditionalFormatting sqref="J46:W46">
    <cfRule type="cellIs" dxfId="1012" priority="2672" operator="equal">
      <formula>"schlecht"</formula>
    </cfRule>
    <cfRule type="cellIs" dxfId="1011" priority="2671" operator="equal">
      <formula>"gut"</formula>
    </cfRule>
    <cfRule type="cellIs" dxfId="1010" priority="2670" operator="equal">
      <formula>"mässig"</formula>
    </cfRule>
  </conditionalFormatting>
  <conditionalFormatting sqref="J52:W57">
    <cfRule type="expression" dxfId="1009" priority="93">
      <formula>$E$54="Nicht vorhanden"</formula>
    </cfRule>
  </conditionalFormatting>
  <conditionalFormatting sqref="J57:W57">
    <cfRule type="cellIs" dxfId="1008" priority="2661" operator="equal">
      <formula>"mässig"</formula>
    </cfRule>
    <cfRule type="cellIs" dxfId="1007" priority="2663" operator="equal">
      <formula>"schlecht"</formula>
    </cfRule>
    <cfRule type="cellIs" dxfId="1006" priority="2662" operator="equal">
      <formula>"gut"</formula>
    </cfRule>
  </conditionalFormatting>
  <conditionalFormatting sqref="J63:W68">
    <cfRule type="expression" dxfId="1005" priority="92">
      <formula>$E$65="Nicht vorhanden"</formula>
    </cfRule>
  </conditionalFormatting>
  <conditionalFormatting sqref="J68:W68">
    <cfRule type="cellIs" dxfId="1004" priority="2652" operator="equal">
      <formula>"mässig"</formula>
    </cfRule>
    <cfRule type="cellIs" dxfId="1003" priority="2653" operator="equal">
      <formula>"gut"</formula>
    </cfRule>
    <cfRule type="cellIs" dxfId="1002" priority="2654" operator="equal">
      <formula>"schlecht"</formula>
    </cfRule>
  </conditionalFormatting>
  <conditionalFormatting sqref="J74:W79">
    <cfRule type="expression" dxfId="1001" priority="91">
      <formula>$E$76="Nicht vorhanden"</formula>
    </cfRule>
  </conditionalFormatting>
  <conditionalFormatting sqref="J79:W79">
    <cfRule type="cellIs" dxfId="1000" priority="2645" operator="equal">
      <formula>"schlecht"</formula>
    </cfRule>
    <cfRule type="cellIs" dxfId="999" priority="2644" operator="equal">
      <formula>"gut"</formula>
    </cfRule>
    <cfRule type="cellIs" dxfId="998" priority="2643" operator="equal">
      <formula>"mässig"</formula>
    </cfRule>
  </conditionalFormatting>
  <conditionalFormatting sqref="J85:W90">
    <cfRule type="expression" dxfId="997" priority="90">
      <formula>$E$87="Nicht vorhanden"</formula>
    </cfRule>
  </conditionalFormatting>
  <conditionalFormatting sqref="J90:W90">
    <cfRule type="cellIs" dxfId="996" priority="2635" operator="equal">
      <formula>"gut"</formula>
    </cfRule>
    <cfRule type="cellIs" dxfId="995" priority="2634" operator="equal">
      <formula>"mässig"</formula>
    </cfRule>
    <cfRule type="cellIs" dxfId="994" priority="2636" operator="equal">
      <formula>"schlecht"</formula>
    </cfRule>
  </conditionalFormatting>
  <conditionalFormatting sqref="J108:W113">
    <cfRule type="expression" dxfId="993" priority="73">
      <formula>$E$110="Nicht vorhanden"</formula>
    </cfRule>
  </conditionalFormatting>
  <conditionalFormatting sqref="J113:W113">
    <cfRule type="cellIs" dxfId="992" priority="2627" operator="equal">
      <formula>"schlecht"</formula>
    </cfRule>
    <cfRule type="cellIs" dxfId="991" priority="2625" operator="equal">
      <formula>"mässig"</formula>
    </cfRule>
    <cfRule type="cellIs" dxfId="990" priority="2626" operator="equal">
      <formula>"gut"</formula>
    </cfRule>
  </conditionalFormatting>
  <conditionalFormatting sqref="J124:W124">
    <cfRule type="cellIs" dxfId="989" priority="2607" operator="equal">
      <formula>"mässig"</formula>
    </cfRule>
    <cfRule type="cellIs" dxfId="988" priority="2608" operator="equal">
      <formula>"gut"</formula>
    </cfRule>
    <cfRule type="cellIs" dxfId="987" priority="2609" operator="equal">
      <formula>"schlecht"</formula>
    </cfRule>
  </conditionalFormatting>
  <conditionalFormatting sqref="J129:W135">
    <cfRule type="expression" dxfId="986" priority="71">
      <formula>$E$132="Nicht vorhanden"</formula>
    </cfRule>
  </conditionalFormatting>
  <conditionalFormatting sqref="J135:W135">
    <cfRule type="cellIs" dxfId="985" priority="2093" operator="equal">
      <formula>"mässig"</formula>
    </cfRule>
    <cfRule type="cellIs" dxfId="984" priority="2094" operator="equal">
      <formula>"gut"</formula>
    </cfRule>
    <cfRule type="cellIs" dxfId="983" priority="2095" operator="equal">
      <formula>"schlecht"</formula>
    </cfRule>
  </conditionalFormatting>
  <conditionalFormatting sqref="J141:W146">
    <cfRule type="expression" dxfId="982" priority="72">
      <formula>$E$143="Nicht vorhanden"</formula>
    </cfRule>
  </conditionalFormatting>
  <conditionalFormatting sqref="J146:W146">
    <cfRule type="cellIs" dxfId="981" priority="2589" operator="equal">
      <formula>"mässig"</formula>
    </cfRule>
    <cfRule type="cellIs" dxfId="980" priority="2590" operator="equal">
      <formula>"gut"</formula>
    </cfRule>
    <cfRule type="cellIs" dxfId="979" priority="2591" operator="equal">
      <formula>"schlecht"</formula>
    </cfRule>
  </conditionalFormatting>
  <conditionalFormatting sqref="J170:W170">
    <cfRule type="cellIs" dxfId="978" priority="2573" operator="equal">
      <formula>"schlecht"</formula>
    </cfRule>
    <cfRule type="cellIs" dxfId="977" priority="2571" operator="equal">
      <formula>"mässig"</formula>
    </cfRule>
    <cfRule type="cellIs" dxfId="976" priority="2572" operator="equal">
      <formula>"gut"</formula>
    </cfRule>
  </conditionalFormatting>
  <conditionalFormatting sqref="J181:W181">
    <cfRule type="cellIs" dxfId="975" priority="2563" operator="equal">
      <formula>"gut"</formula>
    </cfRule>
    <cfRule type="cellIs" dxfId="974" priority="2564" operator="equal">
      <formula>"schlecht"</formula>
    </cfRule>
    <cfRule type="cellIs" dxfId="973" priority="2562" operator="equal">
      <formula>"mässig"</formula>
    </cfRule>
  </conditionalFormatting>
  <conditionalFormatting sqref="J204:W204">
    <cfRule type="cellIs" dxfId="972" priority="2555" operator="equal">
      <formula>"schlecht"</formula>
    </cfRule>
    <cfRule type="cellIs" dxfId="971" priority="2554" operator="equal">
      <formula>"gut"</formula>
    </cfRule>
    <cfRule type="cellIs" dxfId="970" priority="2553" operator="equal">
      <formula>"mässig"</formula>
    </cfRule>
  </conditionalFormatting>
  <conditionalFormatting sqref="J215:W215">
    <cfRule type="cellIs" dxfId="969" priority="2544" operator="equal">
      <formula>"mässig"</formula>
    </cfRule>
    <cfRule type="cellIs" dxfId="968" priority="2545" operator="equal">
      <formula>"gut"</formula>
    </cfRule>
    <cfRule type="cellIs" dxfId="967" priority="2546" operator="equal">
      <formula>"schlecht"</formula>
    </cfRule>
  </conditionalFormatting>
  <conditionalFormatting sqref="J226:W226">
    <cfRule type="cellIs" dxfId="966" priority="2535" operator="equal">
      <formula>"mässig"</formula>
    </cfRule>
    <cfRule type="cellIs" dxfId="965" priority="2536" operator="equal">
      <formula>"gut"</formula>
    </cfRule>
    <cfRule type="cellIs" dxfId="964" priority="2537" operator="equal">
      <formula>"schlecht"</formula>
    </cfRule>
  </conditionalFormatting>
  <conditionalFormatting sqref="J237:W237">
    <cfRule type="cellIs" dxfId="963" priority="1392" operator="equal">
      <formula>"gut"</formula>
    </cfRule>
    <cfRule type="cellIs" dxfId="962" priority="1393" operator="equal">
      <formula>"schlecht"</formula>
    </cfRule>
    <cfRule type="cellIs" dxfId="961" priority="1391" operator="equal">
      <formula>"mässig"</formula>
    </cfRule>
  </conditionalFormatting>
  <conditionalFormatting sqref="J259:W259">
    <cfRule type="cellIs" dxfId="960" priority="2519" operator="equal">
      <formula>"schlecht"</formula>
    </cfRule>
    <cfRule type="cellIs" dxfId="959" priority="2517" operator="equal">
      <formula>"mässig"</formula>
    </cfRule>
    <cfRule type="cellIs" dxfId="958" priority="2518" operator="equal">
      <formula>"gut"</formula>
    </cfRule>
  </conditionalFormatting>
  <conditionalFormatting sqref="J11:X14">
    <cfRule type="cellIs" dxfId="957" priority="4403" operator="equal">
      <formula>2</formula>
    </cfRule>
    <cfRule type="cellIs" dxfId="956" priority="4402" operator="equal">
      <formula>3</formula>
    </cfRule>
    <cfRule type="cellIs" dxfId="955" priority="4401" operator="equal">
      <formula>1</formula>
    </cfRule>
  </conditionalFormatting>
  <conditionalFormatting sqref="K16">
    <cfRule type="cellIs" dxfId="954" priority="61" operator="equal">
      <formula>"mässig"</formula>
    </cfRule>
    <cfRule type="cellIs" dxfId="953" priority="62" operator="equal">
      <formula>"gut"</formula>
    </cfRule>
    <cfRule type="cellIs" dxfId="951" priority="63" operator="equal">
      <formula>"schlecht"</formula>
    </cfRule>
  </conditionalFormatting>
  <conditionalFormatting sqref="K46">
    <cfRule type="expression" dxfId="950" priority="1447">
      <formula>$E$32 = "Nicht vorhanden"</formula>
    </cfRule>
  </conditionalFormatting>
  <conditionalFormatting sqref="K57">
    <cfRule type="expression" dxfId="949" priority="1443">
      <formula>$E$32 = "Nicht vorhanden"</formula>
    </cfRule>
  </conditionalFormatting>
  <conditionalFormatting sqref="K68">
    <cfRule type="expression" dxfId="948" priority="1439">
      <formula>$E$32 = "Nicht vorhanden"</formula>
    </cfRule>
  </conditionalFormatting>
  <conditionalFormatting sqref="K79">
    <cfRule type="expression" dxfId="947" priority="1435">
      <formula>$E$32 = "Nicht vorhanden"</formula>
    </cfRule>
  </conditionalFormatting>
  <conditionalFormatting sqref="K90">
    <cfRule type="expression" dxfId="946" priority="1431">
      <formula>$E$32 = "Nicht vorhanden"</formula>
    </cfRule>
  </conditionalFormatting>
  <conditionalFormatting sqref="K109">
    <cfRule type="cellIs" dxfId="945" priority="2252" operator="equal">
      <formula>"schlecht"</formula>
    </cfRule>
    <cfRule type="cellIs" dxfId="944" priority="2250" operator="equal">
      <formula>"mässig"</formula>
    </cfRule>
    <cfRule type="cellIs" dxfId="943" priority="2251" operator="equal">
      <formula>"gut"</formula>
    </cfRule>
  </conditionalFormatting>
  <conditionalFormatting sqref="K113">
    <cfRule type="expression" dxfId="942" priority="1427">
      <formula>$E$32 = "Nicht vorhanden"</formula>
    </cfRule>
  </conditionalFormatting>
  <conditionalFormatting sqref="K120">
    <cfRule type="cellIs" dxfId="941" priority="2120" operator="equal">
      <formula>"mässig"</formula>
    </cfRule>
    <cfRule type="cellIs" dxfId="940" priority="2121" operator="equal">
      <formula>"gut"</formula>
    </cfRule>
    <cfRule type="cellIs" dxfId="939" priority="2122" operator="equal">
      <formula>"schlecht"</formula>
    </cfRule>
  </conditionalFormatting>
  <conditionalFormatting sqref="K124">
    <cfRule type="expression" dxfId="938" priority="1419">
      <formula>$E$32 = "Nicht vorhanden"</formula>
    </cfRule>
  </conditionalFormatting>
  <conditionalFormatting sqref="K130">
    <cfRule type="cellIs" dxfId="937" priority="304" operator="equal">
      <formula>"schlecht"</formula>
    </cfRule>
    <cfRule type="cellIs" dxfId="936" priority="303" operator="equal">
      <formula>"gut"</formula>
    </cfRule>
    <cfRule type="cellIs" dxfId="935" priority="302" operator="equal">
      <formula>"mässig"</formula>
    </cfRule>
  </conditionalFormatting>
  <conditionalFormatting sqref="K132:K134">
    <cfRule type="expression" dxfId="934" priority="157">
      <formula>$K$135="keine Korrektur"</formula>
    </cfRule>
  </conditionalFormatting>
  <conditionalFormatting sqref="K142">
    <cfRule type="cellIs" dxfId="933" priority="2193" operator="equal">
      <formula>"mässig"</formula>
    </cfRule>
    <cfRule type="cellIs" dxfId="932" priority="2194" operator="equal">
      <formula>"gut"</formula>
    </cfRule>
    <cfRule type="cellIs" dxfId="931" priority="2195" operator="equal">
      <formula>"schlecht"</formula>
    </cfRule>
  </conditionalFormatting>
  <conditionalFormatting sqref="K146">
    <cfRule type="expression" dxfId="930" priority="1415">
      <formula>$E$32 = "Nicht vorhanden"</formula>
    </cfRule>
  </conditionalFormatting>
  <conditionalFormatting sqref="K166">
    <cfRule type="cellIs" dxfId="929" priority="2166" operator="equal">
      <formula>"mässig"</formula>
    </cfRule>
    <cfRule type="cellIs" dxfId="928" priority="2167" operator="equal">
      <formula>"gut"</formula>
    </cfRule>
    <cfRule type="cellIs" dxfId="927" priority="2168" operator="equal">
      <formula>"schlecht"</formula>
    </cfRule>
  </conditionalFormatting>
  <conditionalFormatting sqref="K170">
    <cfRule type="expression" dxfId="926" priority="2173">
      <formula>$E$32 = "Nicht vorhanden"</formula>
    </cfRule>
  </conditionalFormatting>
  <conditionalFormatting sqref="K177">
    <cfRule type="cellIs" dxfId="925" priority="2151" operator="equal">
      <formula>"mässig"</formula>
    </cfRule>
    <cfRule type="cellIs" dxfId="924" priority="2153" operator="equal">
      <formula>"schlecht"</formula>
    </cfRule>
    <cfRule type="cellIs" dxfId="923" priority="2152" operator="equal">
      <formula>"gut"</formula>
    </cfRule>
  </conditionalFormatting>
  <conditionalFormatting sqref="K181">
    <cfRule type="expression" dxfId="922" priority="2169">
      <formula>$E$32 = "Nicht vorhanden"</formula>
    </cfRule>
  </conditionalFormatting>
  <conditionalFormatting sqref="K200">
    <cfRule type="cellIs" dxfId="921" priority="1553" operator="equal">
      <formula>"schlecht"</formula>
    </cfRule>
    <cfRule type="cellIs" dxfId="920" priority="1552" operator="equal">
      <formula>"gut"</formula>
    </cfRule>
    <cfRule type="cellIs" dxfId="919" priority="1551" operator="equal">
      <formula>"mässig"</formula>
    </cfRule>
  </conditionalFormatting>
  <conditionalFormatting sqref="K204">
    <cfRule type="expression" dxfId="918" priority="1554">
      <formula>$E$32 = "Nicht vorhanden"</formula>
    </cfRule>
  </conditionalFormatting>
  <conditionalFormatting sqref="K211">
    <cfRule type="cellIs" dxfId="917" priority="1525" operator="equal">
      <formula>"schlecht"</formula>
    </cfRule>
    <cfRule type="cellIs" dxfId="916" priority="1524" operator="equal">
      <formula>"gut"</formula>
    </cfRule>
    <cfRule type="cellIs" dxfId="915" priority="1523" operator="equal">
      <formula>"mässig"</formula>
    </cfRule>
  </conditionalFormatting>
  <conditionalFormatting sqref="K215">
    <cfRule type="expression" dxfId="914" priority="1526">
      <formula>$E$32 = "Nicht vorhanden"</formula>
    </cfRule>
  </conditionalFormatting>
  <conditionalFormatting sqref="K222">
    <cfRule type="cellIs" dxfId="913" priority="1507" operator="equal">
      <formula>"gut"</formula>
    </cfRule>
    <cfRule type="cellIs" dxfId="912" priority="1506" operator="equal">
      <formula>"mässig"</formula>
    </cfRule>
    <cfRule type="cellIs" dxfId="911" priority="1508" operator="equal">
      <formula>"schlecht"</formula>
    </cfRule>
  </conditionalFormatting>
  <conditionalFormatting sqref="K226">
    <cfRule type="expression" dxfId="910" priority="1510">
      <formula>$E$32 = "Nicht vorhanden"</formula>
    </cfRule>
  </conditionalFormatting>
  <conditionalFormatting sqref="K232">
    <cfRule type="cellIs" dxfId="909" priority="243" operator="equal">
      <formula>"gut"</formula>
    </cfRule>
    <cfRule type="cellIs" dxfId="908" priority="244" operator="equal">
      <formula>"schlecht"</formula>
    </cfRule>
    <cfRule type="cellIs" dxfId="907" priority="242" operator="equal">
      <formula>"mässig"</formula>
    </cfRule>
  </conditionalFormatting>
  <conditionalFormatting sqref="K234:K236">
    <cfRule type="expression" dxfId="906" priority="152">
      <formula>$K$237="keine Korrektur"</formula>
    </cfRule>
  </conditionalFormatting>
  <conditionalFormatting sqref="K243">
    <cfRule type="cellIs" dxfId="905" priority="212" operator="equal">
      <formula>"mässig"</formula>
    </cfRule>
    <cfRule type="cellIs" dxfId="904" priority="214" operator="equal">
      <formula>"schlecht"</formula>
    </cfRule>
    <cfRule type="cellIs" dxfId="903" priority="213" operator="equal">
      <formula>"gut"</formula>
    </cfRule>
  </conditionalFormatting>
  <conditionalFormatting sqref="K245">
    <cfRule type="expression" dxfId="902" priority="147">
      <formula>$K$248="keine Korrektur"</formula>
    </cfRule>
  </conditionalFormatting>
  <conditionalFormatting sqref="K255">
    <cfRule type="cellIs" dxfId="901" priority="1477" operator="equal">
      <formula>"schlecht"</formula>
    </cfRule>
    <cfRule type="cellIs" dxfId="900" priority="1476" operator="equal">
      <formula>"gut"</formula>
    </cfRule>
    <cfRule type="cellIs" dxfId="899" priority="1475" operator="equal">
      <formula>"mässig"</formula>
    </cfRule>
  </conditionalFormatting>
  <conditionalFormatting sqref="K259">
    <cfRule type="expression" dxfId="898" priority="1478">
      <formula>$E$32 = "Nicht vorhanden"</formula>
    </cfRule>
  </conditionalFormatting>
  <conditionalFormatting sqref="K10:L10">
    <cfRule type="cellIs" dxfId="897" priority="332" operator="equal">
      <formula>"mässig"</formula>
    </cfRule>
    <cfRule type="cellIs" dxfId="896" priority="333" operator="equal">
      <formula>"gut"</formula>
    </cfRule>
    <cfRule type="cellIs" dxfId="895" priority="334" operator="equal">
      <formula>"schlecht"</formula>
    </cfRule>
  </conditionalFormatting>
  <conditionalFormatting sqref="K153:L153">
    <cfRule type="cellIs" dxfId="894" priority="272" operator="equal">
      <formula>"mässig"</formula>
    </cfRule>
    <cfRule type="cellIs" dxfId="893" priority="273" operator="equal">
      <formula>"gut"</formula>
    </cfRule>
    <cfRule type="cellIs" dxfId="892" priority="274" operator="equal">
      <formula>"schlecht"</formula>
    </cfRule>
  </conditionalFormatting>
  <conditionalFormatting sqref="K266:L266">
    <cfRule type="cellIs" dxfId="891" priority="182" operator="equal">
      <formula>"mässig"</formula>
    </cfRule>
    <cfRule type="cellIs" dxfId="890" priority="184" operator="equal">
      <formula>"schlecht"</formula>
    </cfRule>
    <cfRule type="cellIs" dxfId="889" priority="183" operator="equal">
      <formula>"gut"</formula>
    </cfRule>
  </conditionalFormatting>
  <conditionalFormatting sqref="L129:M130">
    <cfRule type="cellIs" dxfId="888" priority="299" operator="equal">
      <formula>"mässig"</formula>
    </cfRule>
    <cfRule type="cellIs" dxfId="887" priority="300" operator="equal">
      <formula>"gut"</formula>
    </cfRule>
    <cfRule type="cellIs" dxfId="886" priority="301" operator="equal">
      <formula>"schlecht"</formula>
    </cfRule>
  </conditionalFormatting>
  <conditionalFormatting sqref="L231:M232">
    <cfRule type="cellIs" dxfId="885" priority="241" operator="equal">
      <formula>"schlecht"</formula>
    </cfRule>
    <cfRule type="cellIs" dxfId="884" priority="240" operator="equal">
      <formula>"gut"</formula>
    </cfRule>
    <cfRule type="cellIs" dxfId="883" priority="239" operator="equal">
      <formula>"mässig"</formula>
    </cfRule>
  </conditionalFormatting>
  <conditionalFormatting sqref="L242:M243">
    <cfRule type="cellIs" dxfId="882" priority="211" operator="equal">
      <formula>"schlecht"</formula>
    </cfRule>
    <cfRule type="cellIs" dxfId="881" priority="209" operator="equal">
      <formula>"mässig"</formula>
    </cfRule>
    <cfRule type="cellIs" dxfId="880" priority="210" operator="equal">
      <formula>"gut"</formula>
    </cfRule>
  </conditionalFormatting>
  <conditionalFormatting sqref="M9:M10">
    <cfRule type="cellIs" dxfId="879" priority="329" operator="equal">
      <formula>"mässig"</formula>
    </cfRule>
    <cfRule type="cellIs" dxfId="878" priority="330" operator="equal">
      <formula>"gut"</formula>
    </cfRule>
    <cfRule type="cellIs" dxfId="877" priority="331" operator="equal">
      <formula>"schlecht"</formula>
    </cfRule>
  </conditionalFormatting>
  <conditionalFormatting sqref="M16">
    <cfRule type="cellIs" dxfId="875" priority="57" operator="equal">
      <formula>"mässig"</formula>
    </cfRule>
    <cfRule type="cellIs" dxfId="874" priority="58" operator="equal">
      <formula>"gut"</formula>
    </cfRule>
    <cfRule type="cellIs" dxfId="873" priority="59" operator="equal">
      <formula>"schlecht"</formula>
    </cfRule>
  </conditionalFormatting>
  <conditionalFormatting sqref="M30">
    <cfRule type="cellIs" dxfId="871" priority="1150" operator="equal">
      <formula>"schlecht"</formula>
    </cfRule>
    <cfRule type="cellIs" dxfId="870" priority="1148" operator="equal">
      <formula>"mässig"</formula>
    </cfRule>
    <cfRule type="cellIs" dxfId="869" priority="1149" operator="equal">
      <formula>"gut"</formula>
    </cfRule>
  </conditionalFormatting>
  <conditionalFormatting sqref="M41">
    <cfRule type="cellIs" dxfId="868" priority="1100" operator="equal">
      <formula>"mässig"</formula>
    </cfRule>
    <cfRule type="cellIs" dxfId="867" priority="1101" operator="equal">
      <formula>"gut"</formula>
    </cfRule>
    <cfRule type="cellIs" dxfId="866" priority="1102" operator="equal">
      <formula>"schlecht"</formula>
    </cfRule>
  </conditionalFormatting>
  <conditionalFormatting sqref="M52">
    <cfRule type="cellIs" dxfId="865" priority="1052" operator="equal">
      <formula>"mässig"</formula>
    </cfRule>
    <cfRule type="cellIs" dxfId="864" priority="1053" operator="equal">
      <formula>"gut"</formula>
    </cfRule>
    <cfRule type="cellIs" dxfId="863" priority="1054" operator="equal">
      <formula>"schlecht"</formula>
    </cfRule>
  </conditionalFormatting>
  <conditionalFormatting sqref="M63">
    <cfRule type="cellIs" dxfId="862" priority="1004" operator="equal">
      <formula>"mässig"</formula>
    </cfRule>
    <cfRule type="cellIs" dxfId="861" priority="1005" operator="equal">
      <formula>"gut"</formula>
    </cfRule>
    <cfRule type="cellIs" dxfId="860" priority="1006" operator="equal">
      <formula>"schlecht"</formula>
    </cfRule>
  </conditionalFormatting>
  <conditionalFormatting sqref="M74">
    <cfRule type="cellIs" dxfId="859" priority="958" operator="equal">
      <formula>"schlecht"</formula>
    </cfRule>
    <cfRule type="cellIs" dxfId="858" priority="956" operator="equal">
      <formula>"mässig"</formula>
    </cfRule>
    <cfRule type="cellIs" dxfId="857" priority="957" operator="equal">
      <formula>"gut"</formula>
    </cfRule>
  </conditionalFormatting>
  <conditionalFormatting sqref="M85">
    <cfRule type="cellIs" dxfId="856" priority="910" operator="equal">
      <formula>"schlecht"</formula>
    </cfRule>
    <cfRule type="cellIs" dxfId="855" priority="909" operator="equal">
      <formula>"gut"</formula>
    </cfRule>
    <cfRule type="cellIs" dxfId="854" priority="908" operator="equal">
      <formula>"mässig"</formula>
    </cfRule>
  </conditionalFormatting>
  <conditionalFormatting sqref="M96:M97">
    <cfRule type="cellIs" dxfId="853" priority="587" operator="equal">
      <formula>"mässig"</formula>
    </cfRule>
    <cfRule type="cellIs" dxfId="852" priority="588" operator="equal">
      <formula>"gut"</formula>
    </cfRule>
    <cfRule type="cellIs" dxfId="851" priority="589" operator="equal">
      <formula>"schlecht"</formula>
    </cfRule>
  </conditionalFormatting>
  <conditionalFormatting sqref="M98">
    <cfRule type="cellIs" dxfId="850" priority="87" operator="equal">
      <formula>2</formula>
    </cfRule>
    <cfRule type="cellIs" dxfId="849" priority="88" operator="equal">
      <formula>3</formula>
    </cfRule>
    <cfRule type="cellIs" dxfId="848" priority="89" operator="equal">
      <formula>1</formula>
    </cfRule>
  </conditionalFormatting>
  <conditionalFormatting sqref="M108">
    <cfRule type="cellIs" dxfId="847" priority="755" operator="equal">
      <formula>"mässig"</formula>
    </cfRule>
    <cfRule type="cellIs" dxfId="846" priority="756" operator="equal">
      <formula>"gut"</formula>
    </cfRule>
    <cfRule type="cellIs" dxfId="845" priority="757" operator="equal">
      <formula>"schlecht"</formula>
    </cfRule>
  </conditionalFormatting>
  <conditionalFormatting sqref="M119">
    <cfRule type="cellIs" dxfId="844" priority="741" operator="equal">
      <formula>"gut"</formula>
    </cfRule>
    <cfRule type="cellIs" dxfId="843" priority="742" operator="equal">
      <formula>"schlecht"</formula>
    </cfRule>
    <cfRule type="cellIs" dxfId="842" priority="740" operator="equal">
      <formula>"mässig"</formula>
    </cfRule>
  </conditionalFormatting>
  <conditionalFormatting sqref="M141">
    <cfRule type="cellIs" dxfId="841" priority="707" operator="equal">
      <formula>"mässig"</formula>
    </cfRule>
    <cfRule type="cellIs" dxfId="840" priority="709" operator="equal">
      <formula>"schlecht"</formula>
    </cfRule>
    <cfRule type="cellIs" dxfId="839" priority="708" operator="equal">
      <formula>"gut"</formula>
    </cfRule>
  </conditionalFormatting>
  <conditionalFormatting sqref="M152:M153">
    <cfRule type="cellIs" dxfId="838" priority="270" operator="equal">
      <formula>"gut"</formula>
    </cfRule>
    <cfRule type="cellIs" dxfId="837" priority="271" operator="equal">
      <formula>"schlecht"</formula>
    </cfRule>
    <cfRule type="cellIs" dxfId="836" priority="269" operator="equal">
      <formula>"mässig"</formula>
    </cfRule>
  </conditionalFormatting>
  <conditionalFormatting sqref="M165">
    <cfRule type="cellIs" dxfId="835" priority="618" operator="equal">
      <formula>"gut"</formula>
    </cfRule>
    <cfRule type="cellIs" dxfId="834" priority="617" operator="equal">
      <formula>"mässig"</formula>
    </cfRule>
    <cfRule type="cellIs" dxfId="833" priority="619" operator="equal">
      <formula>"schlecht"</formula>
    </cfRule>
  </conditionalFormatting>
  <conditionalFormatting sqref="M176">
    <cfRule type="cellIs" dxfId="832" priority="603" operator="equal">
      <formula>"gut"</formula>
    </cfRule>
    <cfRule type="cellIs" dxfId="831" priority="604" operator="equal">
      <formula>"schlecht"</formula>
    </cfRule>
    <cfRule type="cellIs" dxfId="830" priority="602" operator="equal">
      <formula>"mässig"</formula>
    </cfRule>
  </conditionalFormatting>
  <conditionalFormatting sqref="M187:M188">
    <cfRule type="cellIs" dxfId="829" priority="573" operator="equal">
      <formula>"gut"</formula>
    </cfRule>
    <cfRule type="cellIs" dxfId="828" priority="572" operator="equal">
      <formula>"mässig"</formula>
    </cfRule>
    <cfRule type="cellIs" dxfId="827" priority="574" operator="equal">
      <formula>"schlecht"</formula>
    </cfRule>
  </conditionalFormatting>
  <conditionalFormatting sqref="M189">
    <cfRule type="cellIs" dxfId="826" priority="3597" operator="equal">
      <formula>2</formula>
    </cfRule>
    <cfRule type="cellIs" dxfId="825" priority="3598" operator="equal">
      <formula>3</formula>
    </cfRule>
    <cfRule type="cellIs" dxfId="824" priority="3599" operator="equal">
      <formula>1</formula>
    </cfRule>
  </conditionalFormatting>
  <conditionalFormatting sqref="M199">
    <cfRule type="cellIs" dxfId="823" priority="559" operator="equal">
      <formula>"schlecht"</formula>
    </cfRule>
    <cfRule type="cellIs" dxfId="822" priority="558" operator="equal">
      <formula>"gut"</formula>
    </cfRule>
    <cfRule type="cellIs" dxfId="821" priority="557" operator="equal">
      <formula>"mässig"</formula>
    </cfRule>
  </conditionalFormatting>
  <conditionalFormatting sqref="M210">
    <cfRule type="cellIs" dxfId="820" priority="543" operator="equal">
      <formula>"gut"</formula>
    </cfRule>
    <cfRule type="cellIs" dxfId="819" priority="542" operator="equal">
      <formula>"mässig"</formula>
    </cfRule>
    <cfRule type="cellIs" dxfId="818" priority="544" operator="equal">
      <formula>"schlecht"</formula>
    </cfRule>
  </conditionalFormatting>
  <conditionalFormatting sqref="M221">
    <cfRule type="cellIs" dxfId="817" priority="527" operator="equal">
      <formula>"mässig"</formula>
    </cfRule>
    <cfRule type="cellIs" dxfId="816" priority="528" operator="equal">
      <formula>"gut"</formula>
    </cfRule>
    <cfRule type="cellIs" dxfId="815" priority="529" operator="equal">
      <formula>"schlecht"</formula>
    </cfRule>
  </conditionalFormatting>
  <conditionalFormatting sqref="M254">
    <cfRule type="cellIs" dxfId="814" priority="498" operator="equal">
      <formula>"gut"</formula>
    </cfRule>
    <cfRule type="cellIs" dxfId="813" priority="499" operator="equal">
      <formula>"schlecht"</formula>
    </cfRule>
    <cfRule type="cellIs" dxfId="812" priority="497" operator="equal">
      <formula>"mässig"</formula>
    </cfRule>
  </conditionalFormatting>
  <conditionalFormatting sqref="M265:M266">
    <cfRule type="cellIs" dxfId="811" priority="180" operator="equal">
      <formula>"gut"</formula>
    </cfRule>
    <cfRule type="cellIs" dxfId="810" priority="181" operator="equal">
      <formula>"schlecht"</formula>
    </cfRule>
    <cfRule type="cellIs" dxfId="809" priority="179" operator="equal">
      <formula>"mässig"</formula>
    </cfRule>
  </conditionalFormatting>
  <conditionalFormatting sqref="M42:N42">
    <cfRule type="cellIs" dxfId="807" priority="2322" operator="equal">
      <formula>"mässig"</formula>
    </cfRule>
    <cfRule type="cellIs" dxfId="806" priority="2323" operator="equal">
      <formula>"gut"</formula>
    </cfRule>
    <cfRule type="cellIs" dxfId="805" priority="2324" operator="equal">
      <formula>"schlecht"</formula>
    </cfRule>
  </conditionalFormatting>
  <conditionalFormatting sqref="M53:N53">
    <cfRule type="cellIs" dxfId="804" priority="2307" operator="equal">
      <formula>"mässig"</formula>
    </cfRule>
    <cfRule type="cellIs" dxfId="803" priority="2308" operator="equal">
      <formula>"gut"</formula>
    </cfRule>
    <cfRule type="cellIs" dxfId="802" priority="2309" operator="equal">
      <formula>"schlecht"</formula>
    </cfRule>
  </conditionalFormatting>
  <conditionalFormatting sqref="M64:N64">
    <cfRule type="cellIs" dxfId="801" priority="2292" operator="equal">
      <formula>"mässig"</formula>
    </cfRule>
    <cfRule type="cellIs" dxfId="800" priority="2293" operator="equal">
      <formula>"gut"</formula>
    </cfRule>
    <cfRule type="cellIs" dxfId="799" priority="2294" operator="equal">
      <formula>"schlecht"</formula>
    </cfRule>
  </conditionalFormatting>
  <conditionalFormatting sqref="M75:N75">
    <cfRule type="cellIs" dxfId="798" priority="2279" operator="equal">
      <formula>"schlecht"</formula>
    </cfRule>
    <cfRule type="cellIs" dxfId="797" priority="2278" operator="equal">
      <formula>"gut"</formula>
    </cfRule>
    <cfRule type="cellIs" dxfId="796" priority="2277" operator="equal">
      <formula>"mässig"</formula>
    </cfRule>
  </conditionalFormatting>
  <conditionalFormatting sqref="M86:N86">
    <cfRule type="cellIs" dxfId="795" priority="2263" operator="equal">
      <formula>"gut"</formula>
    </cfRule>
    <cfRule type="cellIs" dxfId="794" priority="2262" operator="equal">
      <formula>"mässig"</formula>
    </cfRule>
    <cfRule type="cellIs" dxfId="793" priority="2264" operator="equal">
      <formula>"schlecht"</formula>
    </cfRule>
  </conditionalFormatting>
  <conditionalFormatting sqref="M154:N154">
    <cfRule type="cellIs" dxfId="790" priority="1765" operator="equal">
      <formula>"mässig"</formula>
    </cfRule>
    <cfRule type="cellIs" dxfId="789" priority="1763" operator="equal">
      <formula>"schlecht"</formula>
    </cfRule>
    <cfRule type="cellIs" dxfId="788" priority="1764" operator="equal">
      <formula>"gut"</formula>
    </cfRule>
  </conditionalFormatting>
  <conditionalFormatting sqref="M155:N155">
    <cfRule type="cellIs" dxfId="787" priority="2057" operator="equal">
      <formula>2</formula>
    </cfRule>
    <cfRule type="cellIs" dxfId="786" priority="2059" operator="equal">
      <formula>1</formula>
    </cfRule>
    <cfRule type="cellIs" dxfId="785" priority="2058" operator="equal">
      <formula>3</formula>
    </cfRule>
  </conditionalFormatting>
  <conditionalFormatting sqref="M248:N248">
    <cfRule type="cellIs" dxfId="784" priority="1413" operator="equal">
      <formula>"gut"</formula>
    </cfRule>
    <cfRule type="cellIs" dxfId="783" priority="1414" operator="equal">
      <formula>"schlecht"</formula>
    </cfRule>
    <cfRule type="cellIs" dxfId="782" priority="1412" operator="equal">
      <formula>"mässig"</formula>
    </cfRule>
  </conditionalFormatting>
  <conditionalFormatting sqref="M267:N267">
    <cfRule type="cellIs" dxfId="781" priority="3030" operator="equal">
      <formula>"schlecht"</formula>
    </cfRule>
    <cfRule type="cellIs" dxfId="780" priority="3032" operator="equal">
      <formula>"mässig"</formula>
    </cfRule>
    <cfRule type="cellIs" dxfId="779" priority="3031" operator="equal">
      <formula>"gut"</formula>
    </cfRule>
  </conditionalFormatting>
  <conditionalFormatting sqref="M268:N268">
    <cfRule type="cellIs" dxfId="778" priority="3214" operator="equal">
      <formula>3</formula>
    </cfRule>
    <cfRule type="cellIs" dxfId="777" priority="3213" operator="equal">
      <formula>2</formula>
    </cfRule>
    <cfRule type="cellIs" dxfId="776" priority="3215" operator="equal">
      <formula>1</formula>
    </cfRule>
  </conditionalFormatting>
  <conditionalFormatting sqref="N16">
    <cfRule type="cellIs" dxfId="775" priority="51" operator="equal">
      <formula>"gut"</formula>
    </cfRule>
    <cfRule type="cellIs" dxfId="774" priority="52" operator="equal">
      <formula>"schlecht"</formula>
    </cfRule>
    <cfRule type="cellIs" dxfId="772" priority="50" operator="equal">
      <formula>"mässig"</formula>
    </cfRule>
  </conditionalFormatting>
  <conditionalFormatting sqref="N109">
    <cfRule type="cellIs" dxfId="771" priority="2247" operator="equal">
      <formula>"mässig"</formula>
    </cfRule>
    <cfRule type="cellIs" dxfId="770" priority="2249" operator="equal">
      <formula>"schlecht"</formula>
    </cfRule>
    <cfRule type="cellIs" dxfId="769" priority="2248" operator="equal">
      <formula>"gut"</formula>
    </cfRule>
  </conditionalFormatting>
  <conditionalFormatting sqref="N120">
    <cfRule type="cellIs" dxfId="768" priority="2119" operator="equal">
      <formula>"schlecht"</formula>
    </cfRule>
    <cfRule type="cellIs" dxfId="767" priority="2118" operator="equal">
      <formula>"gut"</formula>
    </cfRule>
    <cfRule type="cellIs" dxfId="766" priority="2117" operator="equal">
      <formula>"mässig"</formula>
    </cfRule>
  </conditionalFormatting>
  <conditionalFormatting sqref="N130">
    <cfRule type="cellIs" dxfId="765" priority="296" operator="equal">
      <formula>"mässig"</formula>
    </cfRule>
    <cfRule type="cellIs" dxfId="764" priority="298" operator="equal">
      <formula>"schlecht"</formula>
    </cfRule>
    <cfRule type="cellIs" dxfId="763" priority="297" operator="equal">
      <formula>"gut"</formula>
    </cfRule>
  </conditionalFormatting>
  <conditionalFormatting sqref="N132">
    <cfRule type="expression" dxfId="762" priority="156">
      <formula>$N$135="keine Korrektur"</formula>
    </cfRule>
  </conditionalFormatting>
  <conditionalFormatting sqref="N142">
    <cfRule type="cellIs" dxfId="761" priority="2192" operator="equal">
      <formula>"schlecht"</formula>
    </cfRule>
    <cfRule type="cellIs" dxfId="760" priority="2191" operator="equal">
      <formula>"gut"</formula>
    </cfRule>
    <cfRule type="cellIs" dxfId="759" priority="2190" operator="equal">
      <formula>"mässig"</formula>
    </cfRule>
  </conditionalFormatting>
  <conditionalFormatting sqref="N166">
    <cfRule type="cellIs" dxfId="758" priority="2165" operator="equal">
      <formula>"schlecht"</formula>
    </cfRule>
    <cfRule type="cellIs" dxfId="757" priority="2164" operator="equal">
      <formula>"gut"</formula>
    </cfRule>
    <cfRule type="cellIs" dxfId="756" priority="2163" operator="equal">
      <formula>"mässig"</formula>
    </cfRule>
  </conditionalFormatting>
  <conditionalFormatting sqref="N177">
    <cfRule type="cellIs" dxfId="755" priority="1538" operator="equal">
      <formula>"schlecht"</formula>
    </cfRule>
    <cfRule type="cellIs" dxfId="754" priority="1536" operator="equal">
      <formula>"mässig"</formula>
    </cfRule>
    <cfRule type="cellIs" dxfId="753" priority="1537" operator="equal">
      <formula>"gut"</formula>
    </cfRule>
  </conditionalFormatting>
  <conditionalFormatting sqref="N200">
    <cfRule type="cellIs" dxfId="752" priority="1550" operator="equal">
      <formula>"schlecht"</formula>
    </cfRule>
    <cfRule type="cellIs" dxfId="751" priority="1549" operator="equal">
      <formula>"gut"</formula>
    </cfRule>
    <cfRule type="cellIs" dxfId="750" priority="1548" operator="equal">
      <formula>"mässig"</formula>
    </cfRule>
  </conditionalFormatting>
  <conditionalFormatting sqref="N211">
    <cfRule type="cellIs" dxfId="749" priority="1522" operator="equal">
      <formula>"schlecht"</formula>
    </cfRule>
    <cfRule type="cellIs" dxfId="748" priority="1521" operator="equal">
      <formula>"gut"</formula>
    </cfRule>
    <cfRule type="cellIs" dxfId="747" priority="1520" operator="equal">
      <formula>"mässig"</formula>
    </cfRule>
  </conditionalFormatting>
  <conditionalFormatting sqref="N222">
    <cfRule type="cellIs" dxfId="746" priority="1505" operator="equal">
      <formula>"schlecht"</formula>
    </cfRule>
    <cfRule type="cellIs" dxfId="745" priority="1503" operator="equal">
      <formula>"mässig"</formula>
    </cfRule>
    <cfRule type="cellIs" dxfId="744" priority="1504" operator="equal">
      <formula>"gut"</formula>
    </cfRule>
  </conditionalFormatting>
  <conditionalFormatting sqref="N232">
    <cfRule type="cellIs" dxfId="743" priority="238" operator="equal">
      <formula>"schlecht"</formula>
    </cfRule>
    <cfRule type="cellIs" dxfId="742" priority="237" operator="equal">
      <formula>"gut"</formula>
    </cfRule>
    <cfRule type="cellIs" dxfId="741" priority="236" operator="equal">
      <formula>"mässig"</formula>
    </cfRule>
  </conditionalFormatting>
  <conditionalFormatting sqref="N234">
    <cfRule type="expression" dxfId="740" priority="151">
      <formula>$N$237="keine Korrektur"</formula>
    </cfRule>
  </conditionalFormatting>
  <conditionalFormatting sqref="N243">
    <cfRule type="cellIs" dxfId="739" priority="208" operator="equal">
      <formula>"schlecht"</formula>
    </cfRule>
    <cfRule type="cellIs" dxfId="738" priority="207" operator="equal">
      <formula>"gut"</formula>
    </cfRule>
    <cfRule type="cellIs" dxfId="737" priority="206" operator="equal">
      <formula>"mässig"</formula>
    </cfRule>
  </conditionalFormatting>
  <conditionalFormatting sqref="N245">
    <cfRule type="expression" dxfId="736" priority="146">
      <formula>$N$248="keine Korrektur"</formula>
    </cfRule>
  </conditionalFormatting>
  <conditionalFormatting sqref="N255">
    <cfRule type="cellIs" dxfId="735" priority="1472" operator="equal">
      <formula>"mässig"</formula>
    </cfRule>
    <cfRule type="cellIs" dxfId="734" priority="1473" operator="equal">
      <formula>"gut"</formula>
    </cfRule>
    <cfRule type="cellIs" dxfId="733" priority="1474" operator="equal">
      <formula>"schlecht"</formula>
    </cfRule>
  </conditionalFormatting>
  <conditionalFormatting sqref="N10:O10">
    <cfRule type="cellIs" dxfId="732" priority="326" operator="equal">
      <formula>"mässig"</formula>
    </cfRule>
    <cfRule type="cellIs" dxfId="731" priority="328" operator="equal">
      <formula>"schlecht"</formula>
    </cfRule>
    <cfRule type="cellIs" dxfId="730" priority="327" operator="equal">
      <formula>"gut"</formula>
    </cfRule>
  </conditionalFormatting>
  <conditionalFormatting sqref="N153:O153">
    <cfRule type="cellIs" dxfId="729" priority="267" operator="equal">
      <formula>"gut"</formula>
    </cfRule>
    <cfRule type="cellIs" dxfId="728" priority="268" operator="equal">
      <formula>"schlecht"</formula>
    </cfRule>
    <cfRule type="cellIs" dxfId="727" priority="266" operator="equal">
      <formula>"mässig"</formula>
    </cfRule>
  </conditionalFormatting>
  <conditionalFormatting sqref="N266:O266">
    <cfRule type="cellIs" dxfId="726" priority="177" operator="equal">
      <formula>"gut"</formula>
    </cfRule>
    <cfRule type="cellIs" dxfId="725" priority="178" operator="equal">
      <formula>"schlecht"</formula>
    </cfRule>
    <cfRule type="cellIs" dxfId="724" priority="176" operator="equal">
      <formula>"mässig"</formula>
    </cfRule>
  </conditionalFormatting>
  <conditionalFormatting sqref="O129:P130">
    <cfRule type="cellIs" dxfId="723" priority="294" operator="equal">
      <formula>"gut"</formula>
    </cfRule>
    <cfRule type="cellIs" dxfId="722" priority="293" operator="equal">
      <formula>"mässig"</formula>
    </cfRule>
    <cfRule type="cellIs" dxfId="721" priority="295" operator="equal">
      <formula>"schlecht"</formula>
    </cfRule>
  </conditionalFormatting>
  <conditionalFormatting sqref="O231:P232">
    <cfRule type="cellIs" dxfId="720" priority="235" operator="equal">
      <formula>"schlecht"</formula>
    </cfRule>
    <cfRule type="cellIs" dxfId="719" priority="234" operator="equal">
      <formula>"gut"</formula>
    </cfRule>
    <cfRule type="cellIs" dxfId="718" priority="233" operator="equal">
      <formula>"mässig"</formula>
    </cfRule>
  </conditionalFormatting>
  <conditionalFormatting sqref="O242:P243">
    <cfRule type="cellIs" dxfId="717" priority="205" operator="equal">
      <formula>"schlecht"</formula>
    </cfRule>
    <cfRule type="cellIs" dxfId="716" priority="204" operator="equal">
      <formula>"gut"</formula>
    </cfRule>
    <cfRule type="cellIs" dxfId="715" priority="203" operator="equal">
      <formula>"mässig"</formula>
    </cfRule>
  </conditionalFormatting>
  <conditionalFormatting sqref="P9:P10">
    <cfRule type="cellIs" dxfId="714" priority="323" operator="equal">
      <formula>"mässig"</formula>
    </cfRule>
    <cfRule type="cellIs" dxfId="713" priority="325" operator="equal">
      <formula>"schlecht"</formula>
    </cfRule>
    <cfRule type="cellIs" dxfId="712" priority="324" operator="equal">
      <formula>"gut"</formula>
    </cfRule>
  </conditionalFormatting>
  <conditionalFormatting sqref="P16">
    <cfRule type="cellIs" dxfId="710" priority="47" operator="equal">
      <formula>"gut"</formula>
    </cfRule>
    <cfRule type="cellIs" dxfId="709" priority="48" operator="equal">
      <formula>"schlecht"</formula>
    </cfRule>
    <cfRule type="cellIs" dxfId="707" priority="46" operator="equal">
      <formula>"mässig"</formula>
    </cfRule>
  </conditionalFormatting>
  <conditionalFormatting sqref="P30">
    <cfRule type="cellIs" dxfId="706" priority="1146" operator="equal">
      <formula>"gut"</formula>
    </cfRule>
    <cfRule type="cellIs" dxfId="705" priority="1145" operator="equal">
      <formula>"mässig"</formula>
    </cfRule>
    <cfRule type="cellIs" dxfId="704" priority="1147" operator="equal">
      <formula>"schlecht"</formula>
    </cfRule>
  </conditionalFormatting>
  <conditionalFormatting sqref="P41">
    <cfRule type="cellIs" dxfId="703" priority="1097" operator="equal">
      <formula>"mässig"</formula>
    </cfRule>
    <cfRule type="cellIs" dxfId="702" priority="1098" operator="equal">
      <formula>"gut"</formula>
    </cfRule>
    <cfRule type="cellIs" dxfId="701" priority="1099" operator="equal">
      <formula>"schlecht"</formula>
    </cfRule>
  </conditionalFormatting>
  <conditionalFormatting sqref="P52">
    <cfRule type="cellIs" dxfId="700" priority="1051" operator="equal">
      <formula>"schlecht"</formula>
    </cfRule>
    <cfRule type="cellIs" dxfId="699" priority="1049" operator="equal">
      <formula>"mässig"</formula>
    </cfRule>
    <cfRule type="cellIs" dxfId="698" priority="1050" operator="equal">
      <formula>"gut"</formula>
    </cfRule>
  </conditionalFormatting>
  <conditionalFormatting sqref="P63">
    <cfRule type="cellIs" dxfId="697" priority="1001" operator="equal">
      <formula>"mässig"</formula>
    </cfRule>
    <cfRule type="cellIs" dxfId="696" priority="1002" operator="equal">
      <formula>"gut"</formula>
    </cfRule>
    <cfRule type="cellIs" dxfId="695" priority="1003" operator="equal">
      <formula>"schlecht"</formula>
    </cfRule>
  </conditionalFormatting>
  <conditionalFormatting sqref="P74">
    <cfRule type="cellIs" dxfId="694" priority="955" operator="equal">
      <formula>"schlecht"</formula>
    </cfRule>
    <cfRule type="cellIs" dxfId="693" priority="953" operator="equal">
      <formula>"mässig"</formula>
    </cfRule>
    <cfRule type="cellIs" dxfId="692" priority="954" operator="equal">
      <formula>"gut"</formula>
    </cfRule>
  </conditionalFormatting>
  <conditionalFormatting sqref="P85">
    <cfRule type="cellIs" dxfId="691" priority="907" operator="equal">
      <formula>"schlecht"</formula>
    </cfRule>
    <cfRule type="cellIs" dxfId="690" priority="906" operator="equal">
      <formula>"gut"</formula>
    </cfRule>
    <cfRule type="cellIs" dxfId="689" priority="905" operator="equal">
      <formula>"mässig"</formula>
    </cfRule>
  </conditionalFormatting>
  <conditionalFormatting sqref="P96">
    <cfRule type="cellIs" dxfId="688" priority="584" operator="equal">
      <formula>"mässig"</formula>
    </cfRule>
    <cfRule type="cellIs" dxfId="687" priority="585" operator="equal">
      <formula>"gut"</formula>
    </cfRule>
    <cfRule type="cellIs" dxfId="686" priority="586" operator="equal">
      <formula>"schlecht"</formula>
    </cfRule>
  </conditionalFormatting>
  <conditionalFormatting sqref="P97">
    <cfRule type="cellIs" dxfId="685" priority="13" operator="equal">
      <formula>"schlecht"</formula>
    </cfRule>
    <cfRule type="cellIs" dxfId="684" priority="15" operator="equal">
      <formula>"mässig"</formula>
    </cfRule>
    <cfRule type="cellIs" dxfId="683" priority="14" operator="equal">
      <formula>"gut"</formula>
    </cfRule>
  </conditionalFormatting>
  <conditionalFormatting sqref="P98">
    <cfRule type="cellIs" dxfId="682" priority="84" operator="equal">
      <formula>3</formula>
    </cfRule>
    <cfRule type="cellIs" dxfId="681" priority="83" operator="equal">
      <formula>2</formula>
    </cfRule>
    <cfRule type="cellIs" dxfId="680" priority="85" operator="equal">
      <formula>1</formula>
    </cfRule>
  </conditionalFormatting>
  <conditionalFormatting sqref="P108">
    <cfRule type="cellIs" dxfId="679" priority="753" operator="equal">
      <formula>"gut"</formula>
    </cfRule>
    <cfRule type="cellIs" dxfId="678" priority="754" operator="equal">
      <formula>"schlecht"</formula>
    </cfRule>
    <cfRule type="cellIs" dxfId="677" priority="752" operator="equal">
      <formula>"mässig"</formula>
    </cfRule>
  </conditionalFormatting>
  <conditionalFormatting sqref="P119">
    <cfRule type="cellIs" dxfId="676" priority="739" operator="equal">
      <formula>"schlecht"</formula>
    </cfRule>
    <cfRule type="cellIs" dxfId="675" priority="737" operator="equal">
      <formula>"mässig"</formula>
    </cfRule>
    <cfRule type="cellIs" dxfId="674" priority="738" operator="equal">
      <formula>"gut"</formula>
    </cfRule>
  </conditionalFormatting>
  <conditionalFormatting sqref="P141">
    <cfRule type="cellIs" dxfId="673" priority="704" operator="equal">
      <formula>"mässig"</formula>
    </cfRule>
    <cfRule type="cellIs" dxfId="672" priority="705" operator="equal">
      <formula>"gut"</formula>
    </cfRule>
    <cfRule type="cellIs" dxfId="671" priority="706" operator="equal">
      <formula>"schlecht"</formula>
    </cfRule>
  </conditionalFormatting>
  <conditionalFormatting sqref="P152:P153">
    <cfRule type="cellIs" dxfId="670" priority="264" operator="equal">
      <formula>"gut"</formula>
    </cfRule>
    <cfRule type="cellIs" dxfId="669" priority="263" operator="equal">
      <formula>"mässig"</formula>
    </cfRule>
    <cfRule type="cellIs" dxfId="668" priority="265" operator="equal">
      <formula>"schlecht"</formula>
    </cfRule>
  </conditionalFormatting>
  <conditionalFormatting sqref="P165">
    <cfRule type="cellIs" dxfId="667" priority="615" operator="equal">
      <formula>"gut"</formula>
    </cfRule>
    <cfRule type="cellIs" dxfId="666" priority="614" operator="equal">
      <formula>"mässig"</formula>
    </cfRule>
    <cfRule type="cellIs" dxfId="665" priority="616" operator="equal">
      <formula>"schlecht"</formula>
    </cfRule>
  </conditionalFormatting>
  <conditionalFormatting sqref="P176">
    <cfRule type="cellIs" dxfId="664" priority="599" operator="equal">
      <formula>"mässig"</formula>
    </cfRule>
    <cfRule type="cellIs" dxfId="663" priority="601" operator="equal">
      <formula>"schlecht"</formula>
    </cfRule>
    <cfRule type="cellIs" dxfId="662" priority="600" operator="equal">
      <formula>"gut"</formula>
    </cfRule>
  </conditionalFormatting>
  <conditionalFormatting sqref="P187:P188">
    <cfRule type="cellIs" dxfId="661" priority="571" operator="equal">
      <formula>"schlecht"</formula>
    </cfRule>
    <cfRule type="cellIs" dxfId="660" priority="569" operator="equal">
      <formula>"mässig"</formula>
    </cfRule>
    <cfRule type="cellIs" dxfId="659" priority="570" operator="equal">
      <formula>"gut"</formula>
    </cfRule>
  </conditionalFormatting>
  <conditionalFormatting sqref="P189">
    <cfRule type="cellIs" dxfId="658" priority="3596" operator="equal">
      <formula>1</formula>
    </cfRule>
    <cfRule type="cellIs" dxfId="657" priority="3595" operator="equal">
      <formula>3</formula>
    </cfRule>
    <cfRule type="cellIs" dxfId="656" priority="3594" operator="equal">
      <formula>2</formula>
    </cfRule>
  </conditionalFormatting>
  <conditionalFormatting sqref="P199">
    <cfRule type="cellIs" dxfId="655" priority="556" operator="equal">
      <formula>"schlecht"</formula>
    </cfRule>
    <cfRule type="cellIs" dxfId="654" priority="555" operator="equal">
      <formula>"gut"</formula>
    </cfRule>
    <cfRule type="cellIs" dxfId="653" priority="554" operator="equal">
      <formula>"mässig"</formula>
    </cfRule>
  </conditionalFormatting>
  <conditionalFormatting sqref="P210">
    <cfRule type="cellIs" dxfId="652" priority="541" operator="equal">
      <formula>"schlecht"</formula>
    </cfRule>
    <cfRule type="cellIs" dxfId="651" priority="540" operator="equal">
      <formula>"gut"</formula>
    </cfRule>
    <cfRule type="cellIs" dxfId="650" priority="539" operator="equal">
      <formula>"mässig"</formula>
    </cfRule>
  </conditionalFormatting>
  <conditionalFormatting sqref="P221">
    <cfRule type="cellIs" dxfId="649" priority="525" operator="equal">
      <formula>"gut"</formula>
    </cfRule>
    <cfRule type="cellIs" dxfId="648" priority="524" operator="equal">
      <formula>"mässig"</formula>
    </cfRule>
    <cfRule type="cellIs" dxfId="647" priority="526" operator="equal">
      <formula>"schlecht"</formula>
    </cfRule>
  </conditionalFormatting>
  <conditionalFormatting sqref="P254">
    <cfRule type="cellIs" dxfId="646" priority="494" operator="equal">
      <formula>"mässig"</formula>
    </cfRule>
    <cfRule type="cellIs" dxfId="645" priority="496" operator="equal">
      <formula>"schlecht"</formula>
    </cfRule>
    <cfRule type="cellIs" dxfId="644" priority="495" operator="equal">
      <formula>"gut"</formula>
    </cfRule>
  </conditionalFormatting>
  <conditionalFormatting sqref="P265:P266">
    <cfRule type="cellIs" dxfId="643" priority="173" operator="equal">
      <formula>"mässig"</formula>
    </cfRule>
    <cfRule type="cellIs" dxfId="642" priority="174" operator="equal">
      <formula>"gut"</formula>
    </cfRule>
    <cfRule type="cellIs" dxfId="641" priority="175" operator="equal">
      <formula>"schlecht"</formula>
    </cfRule>
  </conditionalFormatting>
  <conditionalFormatting sqref="P42:Q42">
    <cfRule type="cellIs" dxfId="638" priority="2321" operator="equal">
      <formula>"schlecht"</formula>
    </cfRule>
    <cfRule type="cellIs" dxfId="637" priority="2319" operator="equal">
      <formula>"mässig"</formula>
    </cfRule>
    <cfRule type="cellIs" dxfId="636" priority="2320" operator="equal">
      <formula>"gut"</formula>
    </cfRule>
  </conditionalFormatting>
  <conditionalFormatting sqref="P53:Q53">
    <cfRule type="cellIs" dxfId="635" priority="2305" operator="equal">
      <formula>"gut"</formula>
    </cfRule>
    <cfRule type="cellIs" dxfId="634" priority="2304" operator="equal">
      <formula>"mässig"</formula>
    </cfRule>
    <cfRule type="cellIs" dxfId="633" priority="2306" operator="equal">
      <formula>"schlecht"</formula>
    </cfRule>
  </conditionalFormatting>
  <conditionalFormatting sqref="P64:Q64">
    <cfRule type="cellIs" dxfId="632" priority="2291" operator="equal">
      <formula>"schlecht"</formula>
    </cfRule>
    <cfRule type="cellIs" dxfId="631" priority="2290" operator="equal">
      <formula>"gut"</formula>
    </cfRule>
    <cfRule type="cellIs" dxfId="630" priority="2289" operator="equal">
      <formula>"mässig"</formula>
    </cfRule>
  </conditionalFormatting>
  <conditionalFormatting sqref="P75:Q75">
    <cfRule type="cellIs" dxfId="629" priority="2276" operator="equal">
      <formula>"schlecht"</formula>
    </cfRule>
    <cfRule type="cellIs" dxfId="628" priority="2275" operator="equal">
      <formula>"gut"</formula>
    </cfRule>
    <cfRule type="cellIs" dxfId="627" priority="2274" operator="equal">
      <formula>"mässig"</formula>
    </cfRule>
  </conditionalFormatting>
  <conditionalFormatting sqref="P86:Q86">
    <cfRule type="cellIs" dxfId="626" priority="2261" operator="equal">
      <formula>"schlecht"</formula>
    </cfRule>
    <cfRule type="cellIs" dxfId="625" priority="2259" operator="equal">
      <formula>"mässig"</formula>
    </cfRule>
    <cfRule type="cellIs" dxfId="624" priority="2260" operator="equal">
      <formula>"gut"</formula>
    </cfRule>
  </conditionalFormatting>
  <conditionalFormatting sqref="P107:Q107">
    <cfRule type="cellIs" dxfId="622" priority="2619" operator="equal">
      <formula>"mässig"</formula>
    </cfRule>
    <cfRule type="cellIs" dxfId="621" priority="2620" operator="equal">
      <formula>"gut"</formula>
    </cfRule>
    <cfRule type="cellIs" dxfId="620" priority="2621" operator="equal">
      <formula>"schlecht"</formula>
    </cfRule>
  </conditionalFormatting>
  <conditionalFormatting sqref="P118:Q118">
    <cfRule type="cellIs" dxfId="619" priority="2128" operator="equal">
      <formula>"gut"</formula>
    </cfRule>
    <cfRule type="cellIs" dxfId="618" priority="2129" operator="equal">
      <formula>"schlecht"</formula>
    </cfRule>
    <cfRule type="cellIs" dxfId="617" priority="2127" operator="equal">
      <formula>"mässig"</formula>
    </cfRule>
  </conditionalFormatting>
  <conditionalFormatting sqref="P140:Q140">
    <cfRule type="cellIs" dxfId="616" priority="2585" operator="equal">
      <formula>"schlecht"</formula>
    </cfRule>
    <cfRule type="cellIs" dxfId="615" priority="2584" operator="equal">
      <formula>"gut"</formula>
    </cfRule>
    <cfRule type="cellIs" dxfId="614" priority="2583" operator="equal">
      <formula>"mässig"</formula>
    </cfRule>
  </conditionalFormatting>
  <conditionalFormatting sqref="P154:Q154">
    <cfRule type="cellIs" dxfId="613" priority="1729" operator="equal">
      <formula>"mässig"</formula>
    </cfRule>
    <cfRule type="cellIs" dxfId="612" priority="1728" operator="equal">
      <formula>"gut"</formula>
    </cfRule>
    <cfRule type="cellIs" dxfId="611" priority="1727" operator="equal">
      <formula>"schlecht"</formula>
    </cfRule>
  </conditionalFormatting>
  <conditionalFormatting sqref="P155:Q155">
    <cfRule type="cellIs" dxfId="610" priority="2054" operator="equal">
      <formula>2</formula>
    </cfRule>
    <cfRule type="cellIs" dxfId="609" priority="2055" operator="equal">
      <formula>3</formula>
    </cfRule>
    <cfRule type="cellIs" dxfId="608" priority="2056" operator="equal">
      <formula>1</formula>
    </cfRule>
  </conditionalFormatting>
  <conditionalFormatting sqref="P164:Q164">
    <cfRule type="cellIs" dxfId="607" priority="2567" operator="equal">
      <formula>"schlecht"</formula>
    </cfRule>
    <cfRule type="cellIs" dxfId="606" priority="2566" operator="equal">
      <formula>"gut"</formula>
    </cfRule>
    <cfRule type="cellIs" dxfId="605" priority="2565" operator="equal">
      <formula>"mässig"</formula>
    </cfRule>
  </conditionalFormatting>
  <conditionalFormatting sqref="P175:Q175">
    <cfRule type="cellIs" dxfId="604" priority="2558" operator="equal">
      <formula>"schlecht"</formula>
    </cfRule>
    <cfRule type="cellIs" dxfId="603" priority="2557" operator="equal">
      <formula>"gut"</formula>
    </cfRule>
    <cfRule type="cellIs" dxfId="602" priority="2556" operator="equal">
      <formula>"mässig"</formula>
    </cfRule>
  </conditionalFormatting>
  <conditionalFormatting sqref="P186:Q186">
    <cfRule type="cellIs" dxfId="601" priority="2710" operator="equal">
      <formula>"gut"</formula>
    </cfRule>
    <cfRule type="cellIs" dxfId="600" priority="2711" operator="equal">
      <formula>"schlecht"</formula>
    </cfRule>
    <cfRule type="cellIs" dxfId="599" priority="2709" operator="equal">
      <formula>"mässig"</formula>
    </cfRule>
  </conditionalFormatting>
  <conditionalFormatting sqref="P198:Q198">
    <cfRule type="cellIs" dxfId="598" priority="2548" operator="equal">
      <formula>"gut"</formula>
    </cfRule>
    <cfRule type="cellIs" dxfId="597" priority="2547" operator="equal">
      <formula>"mässig"</formula>
    </cfRule>
    <cfRule type="cellIs" dxfId="596" priority="2549" operator="equal">
      <formula>"schlecht"</formula>
    </cfRule>
  </conditionalFormatting>
  <conditionalFormatting sqref="P209:Q209">
    <cfRule type="cellIs" dxfId="595" priority="2538" operator="equal">
      <formula>"mässig"</formula>
    </cfRule>
    <cfRule type="cellIs" dxfId="594" priority="2539" operator="equal">
      <formula>"gut"</formula>
    </cfRule>
    <cfRule type="cellIs" dxfId="593" priority="2540" operator="equal">
      <formula>"schlecht"</formula>
    </cfRule>
  </conditionalFormatting>
  <conditionalFormatting sqref="P220:Q220">
    <cfRule type="cellIs" dxfId="592" priority="2529" operator="equal">
      <formula>"mässig"</formula>
    </cfRule>
    <cfRule type="cellIs" dxfId="591" priority="2530" operator="equal">
      <formula>"gut"</formula>
    </cfRule>
    <cfRule type="cellIs" dxfId="590" priority="2531" operator="equal">
      <formula>"schlecht"</formula>
    </cfRule>
  </conditionalFormatting>
  <conditionalFormatting sqref="P248:Q248">
    <cfRule type="cellIs" dxfId="589" priority="1409" operator="equal">
      <formula>"mässig"</formula>
    </cfRule>
    <cfRule type="cellIs" dxfId="588" priority="1411" operator="equal">
      <formula>"schlecht"</formula>
    </cfRule>
    <cfRule type="cellIs" dxfId="587" priority="1410" operator="equal">
      <formula>"gut"</formula>
    </cfRule>
  </conditionalFormatting>
  <conditionalFormatting sqref="P253:Q253">
    <cfRule type="cellIs" dxfId="586" priority="2511" operator="equal">
      <formula>"mässig"</formula>
    </cfRule>
    <cfRule type="cellIs" dxfId="585" priority="2513" operator="equal">
      <formula>"schlecht"</formula>
    </cfRule>
    <cfRule type="cellIs" dxfId="584" priority="2512" operator="equal">
      <formula>"gut"</formula>
    </cfRule>
  </conditionalFormatting>
  <conditionalFormatting sqref="P267:Q267">
    <cfRule type="cellIs" dxfId="583" priority="2996" operator="equal">
      <formula>"mässig"</formula>
    </cfRule>
    <cfRule type="cellIs" dxfId="582" priority="2995" operator="equal">
      <formula>"gut"</formula>
    </cfRule>
    <cfRule type="cellIs" dxfId="581" priority="2994" operator="equal">
      <formula>"schlecht"</formula>
    </cfRule>
  </conditionalFormatting>
  <conditionalFormatting sqref="P268:Q268">
    <cfRule type="cellIs" dxfId="580" priority="3211" operator="equal">
      <formula>3</formula>
    </cfRule>
    <cfRule type="cellIs" dxfId="579" priority="3210" operator="equal">
      <formula>2</formula>
    </cfRule>
    <cfRule type="cellIs" dxfId="578" priority="3212" operator="equal">
      <formula>1</formula>
    </cfRule>
  </conditionalFormatting>
  <conditionalFormatting sqref="Q16">
    <cfRule type="cellIs" dxfId="577" priority="39" operator="equal">
      <formula>"mässig"</formula>
    </cfRule>
    <cfRule type="cellIs" dxfId="576" priority="41" operator="equal">
      <formula>"schlecht"</formula>
    </cfRule>
    <cfRule type="cellIs" dxfId="575" priority="40" operator="equal">
      <formula>"gut"</formula>
    </cfRule>
  </conditionalFormatting>
  <conditionalFormatting sqref="Q109">
    <cfRule type="cellIs" dxfId="573" priority="2245" operator="equal">
      <formula>"gut"</formula>
    </cfRule>
    <cfRule type="cellIs" dxfId="572" priority="2244" operator="equal">
      <formula>"mässig"</formula>
    </cfRule>
    <cfRule type="cellIs" dxfId="571" priority="2246" operator="equal">
      <formula>"schlecht"</formula>
    </cfRule>
  </conditionalFormatting>
  <conditionalFormatting sqref="Q120">
    <cfRule type="cellIs" dxfId="570" priority="2114" operator="equal">
      <formula>"mässig"</formula>
    </cfRule>
    <cfRule type="cellIs" dxfId="569" priority="2115" operator="equal">
      <formula>"gut"</formula>
    </cfRule>
    <cfRule type="cellIs" dxfId="568" priority="2116" operator="equal">
      <formula>"schlecht"</formula>
    </cfRule>
  </conditionalFormatting>
  <conditionalFormatting sqref="Q130">
    <cfRule type="cellIs" dxfId="567" priority="291" operator="equal">
      <formula>"gut"</formula>
    </cfRule>
    <cfRule type="cellIs" dxfId="566" priority="292" operator="equal">
      <formula>"schlecht"</formula>
    </cfRule>
    <cfRule type="cellIs" dxfId="565" priority="290" operator="equal">
      <formula>"mässig"</formula>
    </cfRule>
  </conditionalFormatting>
  <conditionalFormatting sqref="Q132">
    <cfRule type="expression" dxfId="564" priority="155">
      <formula>$Q$135="keine Korrektur"</formula>
    </cfRule>
  </conditionalFormatting>
  <conditionalFormatting sqref="Q142">
    <cfRule type="cellIs" dxfId="563" priority="2189" operator="equal">
      <formula>"schlecht"</formula>
    </cfRule>
    <cfRule type="cellIs" dxfId="562" priority="2188" operator="equal">
      <formula>"gut"</formula>
    </cfRule>
    <cfRule type="cellIs" dxfId="561" priority="2187" operator="equal">
      <formula>"mässig"</formula>
    </cfRule>
  </conditionalFormatting>
  <conditionalFormatting sqref="Q166">
    <cfRule type="cellIs" dxfId="560" priority="2161" operator="equal">
      <formula>"gut"</formula>
    </cfRule>
    <cfRule type="cellIs" dxfId="559" priority="2160" operator="equal">
      <formula>"mässig"</formula>
    </cfRule>
    <cfRule type="cellIs" dxfId="558" priority="2162" operator="equal">
      <formula>"schlecht"</formula>
    </cfRule>
  </conditionalFormatting>
  <conditionalFormatting sqref="Q177">
    <cfRule type="cellIs" dxfId="557" priority="1535" operator="equal">
      <formula>"schlecht"</formula>
    </cfRule>
    <cfRule type="cellIs" dxfId="556" priority="1533" operator="equal">
      <formula>"mässig"</formula>
    </cfRule>
    <cfRule type="cellIs" dxfId="555" priority="1534" operator="equal">
      <formula>"gut"</formula>
    </cfRule>
  </conditionalFormatting>
  <conditionalFormatting sqref="Q200">
    <cfRule type="cellIs" dxfId="554" priority="1546" operator="equal">
      <formula>"gut"</formula>
    </cfRule>
    <cfRule type="cellIs" dxfId="553" priority="1545" operator="equal">
      <formula>"mässig"</formula>
    </cfRule>
    <cfRule type="cellIs" dxfId="552" priority="1547" operator="equal">
      <formula>"schlecht"</formula>
    </cfRule>
  </conditionalFormatting>
  <conditionalFormatting sqref="Q211">
    <cfRule type="cellIs" dxfId="551" priority="1519" operator="equal">
      <formula>"schlecht"</formula>
    </cfRule>
    <cfRule type="cellIs" dxfId="550" priority="1517" operator="equal">
      <formula>"mässig"</formula>
    </cfRule>
    <cfRule type="cellIs" dxfId="549" priority="1518" operator="equal">
      <formula>"gut"</formula>
    </cfRule>
  </conditionalFormatting>
  <conditionalFormatting sqref="Q222">
    <cfRule type="cellIs" dxfId="548" priority="1502" operator="equal">
      <formula>"schlecht"</formula>
    </cfRule>
    <cfRule type="cellIs" dxfId="547" priority="1500" operator="equal">
      <formula>"mässig"</formula>
    </cfRule>
    <cfRule type="cellIs" dxfId="546" priority="1501" operator="equal">
      <formula>"gut"</formula>
    </cfRule>
  </conditionalFormatting>
  <conditionalFormatting sqref="Q232">
    <cfRule type="cellIs" dxfId="545" priority="232" operator="equal">
      <formula>"schlecht"</formula>
    </cfRule>
    <cfRule type="cellIs" dxfId="544" priority="231" operator="equal">
      <formula>"gut"</formula>
    </cfRule>
    <cfRule type="cellIs" dxfId="543" priority="230" operator="equal">
      <formula>"mässig"</formula>
    </cfRule>
  </conditionalFormatting>
  <conditionalFormatting sqref="Q234">
    <cfRule type="expression" dxfId="542" priority="150">
      <formula>$Q$237="keine Korrektur"</formula>
    </cfRule>
  </conditionalFormatting>
  <conditionalFormatting sqref="Q243">
    <cfRule type="cellIs" dxfId="541" priority="200" operator="equal">
      <formula>"mässig"</formula>
    </cfRule>
    <cfRule type="cellIs" dxfId="540" priority="202" operator="equal">
      <formula>"schlecht"</formula>
    </cfRule>
    <cfRule type="cellIs" dxfId="539" priority="201" operator="equal">
      <formula>"gut"</formula>
    </cfRule>
  </conditionalFormatting>
  <conditionalFormatting sqref="Q245">
    <cfRule type="expression" dxfId="538" priority="145">
      <formula>$Q$248="keine Korrektur"</formula>
    </cfRule>
  </conditionalFormatting>
  <conditionalFormatting sqref="Q255">
    <cfRule type="cellIs" dxfId="537" priority="1469" operator="equal">
      <formula>"mässig"</formula>
    </cfRule>
    <cfRule type="cellIs" dxfId="536" priority="1470" operator="equal">
      <formula>"gut"</formula>
    </cfRule>
    <cfRule type="cellIs" dxfId="535" priority="1471" operator="equal">
      <formula>"schlecht"</formula>
    </cfRule>
  </conditionalFormatting>
  <conditionalFormatting sqref="Q10:R10">
    <cfRule type="cellIs" dxfId="534" priority="321" operator="equal">
      <formula>"gut"</formula>
    </cfRule>
    <cfRule type="cellIs" dxfId="533" priority="320" operator="equal">
      <formula>"mässig"</formula>
    </cfRule>
    <cfRule type="cellIs" dxfId="532" priority="322" operator="equal">
      <formula>"schlecht"</formula>
    </cfRule>
  </conditionalFormatting>
  <conditionalFormatting sqref="Q153:R153">
    <cfRule type="cellIs" dxfId="531" priority="260" operator="equal">
      <formula>"mässig"</formula>
    </cfRule>
    <cfRule type="cellIs" dxfId="530" priority="262" operator="equal">
      <formula>"schlecht"</formula>
    </cfRule>
    <cfRule type="cellIs" dxfId="529" priority="261" operator="equal">
      <formula>"gut"</formula>
    </cfRule>
  </conditionalFormatting>
  <conditionalFormatting sqref="Q266:R266">
    <cfRule type="cellIs" dxfId="528" priority="172" operator="equal">
      <formula>"schlecht"</formula>
    </cfRule>
    <cfRule type="cellIs" dxfId="527" priority="171" operator="equal">
      <formula>"gut"</formula>
    </cfRule>
    <cfRule type="cellIs" dxfId="526" priority="170" operator="equal">
      <formula>"mässig"</formula>
    </cfRule>
  </conditionalFormatting>
  <conditionalFormatting sqref="R129:S130">
    <cfRule type="cellIs" dxfId="525" priority="287" operator="equal">
      <formula>"mässig"</formula>
    </cfRule>
    <cfRule type="cellIs" dxfId="524" priority="288" operator="equal">
      <formula>"gut"</formula>
    </cfRule>
    <cfRule type="cellIs" dxfId="523" priority="289" operator="equal">
      <formula>"schlecht"</formula>
    </cfRule>
  </conditionalFormatting>
  <conditionalFormatting sqref="R231:S232">
    <cfRule type="cellIs" dxfId="522" priority="228" operator="equal">
      <formula>"gut"</formula>
    </cfRule>
    <cfRule type="cellIs" dxfId="521" priority="229" operator="equal">
      <formula>"schlecht"</formula>
    </cfRule>
    <cfRule type="cellIs" dxfId="520" priority="227" operator="equal">
      <formula>"mässig"</formula>
    </cfRule>
  </conditionalFormatting>
  <conditionalFormatting sqref="R242:S243">
    <cfRule type="cellIs" dxfId="519" priority="198" operator="equal">
      <formula>"gut"</formula>
    </cfRule>
    <cfRule type="cellIs" dxfId="518" priority="197" operator="equal">
      <formula>"mässig"</formula>
    </cfRule>
    <cfRule type="cellIs" dxfId="517" priority="199" operator="equal">
      <formula>"schlecht"</formula>
    </cfRule>
  </conditionalFormatting>
  <conditionalFormatting sqref="S9:S10">
    <cfRule type="cellIs" dxfId="516" priority="317" operator="equal">
      <formula>"mässig"</formula>
    </cfRule>
    <cfRule type="cellIs" dxfId="515" priority="318" operator="equal">
      <formula>"gut"</formula>
    </cfRule>
    <cfRule type="cellIs" dxfId="514" priority="319" operator="equal">
      <formula>"schlecht"</formula>
    </cfRule>
  </conditionalFormatting>
  <conditionalFormatting sqref="S16">
    <cfRule type="cellIs" dxfId="511" priority="35" operator="equal">
      <formula>"mässig"</formula>
    </cfRule>
    <cfRule type="cellIs" dxfId="510" priority="36" operator="equal">
      <formula>"gut"</formula>
    </cfRule>
    <cfRule type="cellIs" dxfId="509" priority="37" operator="equal">
      <formula>"schlecht"</formula>
    </cfRule>
  </conditionalFormatting>
  <conditionalFormatting sqref="S30">
    <cfRule type="cellIs" dxfId="508" priority="1142" operator="equal">
      <formula>"mässig"</formula>
    </cfRule>
    <cfRule type="cellIs" dxfId="507" priority="1143" operator="equal">
      <formula>"gut"</formula>
    </cfRule>
    <cfRule type="cellIs" dxfId="506" priority="1144" operator="equal">
      <formula>"schlecht"</formula>
    </cfRule>
  </conditionalFormatting>
  <conditionalFormatting sqref="S41">
    <cfRule type="cellIs" dxfId="505" priority="1094" operator="equal">
      <formula>"mässig"</formula>
    </cfRule>
    <cfRule type="cellIs" dxfId="504" priority="1095" operator="equal">
      <formula>"gut"</formula>
    </cfRule>
    <cfRule type="cellIs" dxfId="503" priority="1096" operator="equal">
      <formula>"schlecht"</formula>
    </cfRule>
  </conditionalFormatting>
  <conditionalFormatting sqref="S52">
    <cfRule type="cellIs" dxfId="502" priority="1046" operator="equal">
      <formula>"mässig"</formula>
    </cfRule>
    <cfRule type="cellIs" dxfId="501" priority="1047" operator="equal">
      <formula>"gut"</formula>
    </cfRule>
    <cfRule type="cellIs" dxfId="500" priority="1048" operator="equal">
      <formula>"schlecht"</formula>
    </cfRule>
  </conditionalFormatting>
  <conditionalFormatting sqref="S63">
    <cfRule type="cellIs" dxfId="499" priority="999" operator="equal">
      <formula>"gut"</formula>
    </cfRule>
    <cfRule type="cellIs" dxfId="498" priority="1000" operator="equal">
      <formula>"schlecht"</formula>
    </cfRule>
    <cfRule type="cellIs" dxfId="497" priority="998" operator="equal">
      <formula>"mässig"</formula>
    </cfRule>
  </conditionalFormatting>
  <conditionalFormatting sqref="S74">
    <cfRule type="cellIs" dxfId="496" priority="950" operator="equal">
      <formula>"mässig"</formula>
    </cfRule>
    <cfRule type="cellIs" dxfId="495" priority="951" operator="equal">
      <formula>"gut"</formula>
    </cfRule>
    <cfRule type="cellIs" dxfId="494" priority="952" operator="equal">
      <formula>"schlecht"</formula>
    </cfRule>
  </conditionalFormatting>
  <conditionalFormatting sqref="S85">
    <cfRule type="cellIs" dxfId="493" priority="902" operator="equal">
      <formula>"mässig"</formula>
    </cfRule>
    <cfRule type="cellIs" dxfId="492" priority="903" operator="equal">
      <formula>"gut"</formula>
    </cfRule>
    <cfRule type="cellIs" dxfId="491" priority="904" operator="equal">
      <formula>"schlecht"</formula>
    </cfRule>
  </conditionalFormatting>
  <conditionalFormatting sqref="S96">
    <cfRule type="cellIs" dxfId="490" priority="581" operator="equal">
      <formula>"mässig"</formula>
    </cfRule>
    <cfRule type="cellIs" dxfId="489" priority="582" operator="equal">
      <formula>"gut"</formula>
    </cfRule>
    <cfRule type="cellIs" dxfId="488" priority="583" operator="equal">
      <formula>"schlecht"</formula>
    </cfRule>
  </conditionalFormatting>
  <conditionalFormatting sqref="S97">
    <cfRule type="cellIs" dxfId="487" priority="10" operator="equal">
      <formula>"gut"</formula>
    </cfRule>
    <cfRule type="cellIs" dxfId="486" priority="11" operator="equal">
      <formula>"mässig"</formula>
    </cfRule>
    <cfRule type="cellIs" dxfId="485" priority="9" operator="equal">
      <formula>"schlecht"</formula>
    </cfRule>
  </conditionalFormatting>
  <conditionalFormatting sqref="S98">
    <cfRule type="cellIs" dxfId="484" priority="81" operator="equal">
      <formula>1</formula>
    </cfRule>
    <cfRule type="cellIs" dxfId="483" priority="80" operator="equal">
      <formula>3</formula>
    </cfRule>
    <cfRule type="cellIs" dxfId="482" priority="79" operator="equal">
      <formula>2</formula>
    </cfRule>
  </conditionalFormatting>
  <conditionalFormatting sqref="S108">
    <cfRule type="cellIs" dxfId="481" priority="751" operator="equal">
      <formula>"schlecht"</formula>
    </cfRule>
    <cfRule type="cellIs" dxfId="480" priority="750" operator="equal">
      <formula>"gut"</formula>
    </cfRule>
    <cfRule type="cellIs" dxfId="479" priority="749" operator="equal">
      <formula>"mässig"</formula>
    </cfRule>
  </conditionalFormatting>
  <conditionalFormatting sqref="S119">
    <cfRule type="cellIs" dxfId="478" priority="736" operator="equal">
      <formula>"schlecht"</formula>
    </cfRule>
    <cfRule type="cellIs" dxfId="477" priority="735" operator="equal">
      <formula>"gut"</formula>
    </cfRule>
    <cfRule type="cellIs" dxfId="476" priority="734" operator="equal">
      <formula>"mässig"</formula>
    </cfRule>
  </conditionalFormatting>
  <conditionalFormatting sqref="S141">
    <cfRule type="cellIs" dxfId="475" priority="702" operator="equal">
      <formula>"gut"</formula>
    </cfRule>
    <cfRule type="cellIs" dxfId="474" priority="701" operator="equal">
      <formula>"mässig"</formula>
    </cfRule>
    <cfRule type="cellIs" dxfId="473" priority="703" operator="equal">
      <formula>"schlecht"</formula>
    </cfRule>
  </conditionalFormatting>
  <conditionalFormatting sqref="S152:S153">
    <cfRule type="cellIs" dxfId="472" priority="259" operator="equal">
      <formula>"schlecht"</formula>
    </cfRule>
    <cfRule type="cellIs" dxfId="471" priority="258" operator="equal">
      <formula>"gut"</formula>
    </cfRule>
    <cfRule type="cellIs" dxfId="470" priority="257" operator="equal">
      <formula>"mässig"</formula>
    </cfRule>
  </conditionalFormatting>
  <conditionalFormatting sqref="S165">
    <cfRule type="cellIs" dxfId="469" priority="613" operator="equal">
      <formula>"schlecht"</formula>
    </cfRule>
    <cfRule type="cellIs" dxfId="468" priority="612" operator="equal">
      <formula>"gut"</formula>
    </cfRule>
    <cfRule type="cellIs" dxfId="467" priority="611" operator="equal">
      <formula>"mässig"</formula>
    </cfRule>
  </conditionalFormatting>
  <conditionalFormatting sqref="S176">
    <cfRule type="cellIs" dxfId="466" priority="596" operator="equal">
      <formula>"mässig"</formula>
    </cfRule>
    <cfRule type="cellIs" dxfId="465" priority="598" operator="equal">
      <formula>"schlecht"</formula>
    </cfRule>
    <cfRule type="cellIs" dxfId="464" priority="597" operator="equal">
      <formula>"gut"</formula>
    </cfRule>
  </conditionalFormatting>
  <conditionalFormatting sqref="S187:S188">
    <cfRule type="cellIs" dxfId="463" priority="566" operator="equal">
      <formula>"mässig"</formula>
    </cfRule>
    <cfRule type="cellIs" dxfId="462" priority="567" operator="equal">
      <formula>"gut"</formula>
    </cfRule>
    <cfRule type="cellIs" dxfId="461" priority="568" operator="equal">
      <formula>"schlecht"</formula>
    </cfRule>
  </conditionalFormatting>
  <conditionalFormatting sqref="S189">
    <cfRule type="cellIs" dxfId="460" priority="3592" operator="equal">
      <formula>3</formula>
    </cfRule>
    <cfRule type="cellIs" dxfId="459" priority="3591" operator="equal">
      <formula>2</formula>
    </cfRule>
    <cfRule type="cellIs" dxfId="458" priority="3593" operator="equal">
      <formula>1</formula>
    </cfRule>
  </conditionalFormatting>
  <conditionalFormatting sqref="S199">
    <cfRule type="cellIs" dxfId="457" priority="551" operator="equal">
      <formula>"mässig"</formula>
    </cfRule>
    <cfRule type="cellIs" dxfId="456" priority="552" operator="equal">
      <formula>"gut"</formula>
    </cfRule>
    <cfRule type="cellIs" dxfId="455" priority="553" operator="equal">
      <formula>"schlecht"</formula>
    </cfRule>
  </conditionalFormatting>
  <conditionalFormatting sqref="S210">
    <cfRule type="cellIs" dxfId="454" priority="536" operator="equal">
      <formula>"mässig"</formula>
    </cfRule>
    <cfRule type="cellIs" dxfId="453" priority="537" operator="equal">
      <formula>"gut"</formula>
    </cfRule>
    <cfRule type="cellIs" dxfId="452" priority="538" operator="equal">
      <formula>"schlecht"</formula>
    </cfRule>
  </conditionalFormatting>
  <conditionalFormatting sqref="S221">
    <cfRule type="cellIs" dxfId="451" priority="523" operator="equal">
      <formula>"schlecht"</formula>
    </cfRule>
    <cfRule type="cellIs" dxfId="450" priority="522" operator="equal">
      <formula>"gut"</formula>
    </cfRule>
    <cfRule type="cellIs" dxfId="449" priority="521" operator="equal">
      <formula>"mässig"</formula>
    </cfRule>
  </conditionalFormatting>
  <conditionalFormatting sqref="S254">
    <cfRule type="cellIs" dxfId="448" priority="492" operator="equal">
      <formula>"gut"</formula>
    </cfRule>
    <cfRule type="cellIs" dxfId="447" priority="491" operator="equal">
      <formula>"mässig"</formula>
    </cfRule>
    <cfRule type="cellIs" dxfId="446" priority="493" operator="equal">
      <formula>"schlecht"</formula>
    </cfRule>
  </conditionalFormatting>
  <conditionalFormatting sqref="S265:S266">
    <cfRule type="cellIs" dxfId="445" priority="168" operator="equal">
      <formula>"gut"</formula>
    </cfRule>
    <cfRule type="cellIs" dxfId="444" priority="169" operator="equal">
      <formula>"schlecht"</formula>
    </cfRule>
    <cfRule type="cellIs" dxfId="443" priority="167" operator="equal">
      <formula>"mässig"</formula>
    </cfRule>
  </conditionalFormatting>
  <conditionalFormatting sqref="S42:T42">
    <cfRule type="cellIs" dxfId="441" priority="2318" operator="equal">
      <formula>"schlecht"</formula>
    </cfRule>
    <cfRule type="cellIs" dxfId="440" priority="2317" operator="equal">
      <formula>"gut"</formula>
    </cfRule>
    <cfRule type="cellIs" dxfId="439" priority="2316" operator="equal">
      <formula>"mässig"</formula>
    </cfRule>
  </conditionalFormatting>
  <conditionalFormatting sqref="S53:T53">
    <cfRule type="cellIs" dxfId="438" priority="2301" operator="equal">
      <formula>"mässig"</formula>
    </cfRule>
    <cfRule type="cellIs" dxfId="437" priority="2302" operator="equal">
      <formula>"gut"</formula>
    </cfRule>
    <cfRule type="cellIs" dxfId="436" priority="2303" operator="equal">
      <formula>"schlecht"</formula>
    </cfRule>
  </conditionalFormatting>
  <conditionalFormatting sqref="S64:T64">
    <cfRule type="cellIs" dxfId="435" priority="2288" operator="equal">
      <formula>"schlecht"</formula>
    </cfRule>
    <cfRule type="cellIs" dxfId="434" priority="2287" operator="equal">
      <formula>"gut"</formula>
    </cfRule>
    <cfRule type="cellIs" dxfId="433" priority="2286" operator="equal">
      <formula>"mässig"</formula>
    </cfRule>
  </conditionalFormatting>
  <conditionalFormatting sqref="S75:T75">
    <cfRule type="cellIs" dxfId="432" priority="2271" operator="equal">
      <formula>"mässig"</formula>
    </cfRule>
    <cfRule type="cellIs" dxfId="431" priority="2272" operator="equal">
      <formula>"gut"</formula>
    </cfRule>
    <cfRule type="cellIs" dxfId="430" priority="2273" operator="equal">
      <formula>"schlecht"</formula>
    </cfRule>
  </conditionalFormatting>
  <conditionalFormatting sqref="S86:T86">
    <cfRule type="cellIs" dxfId="429" priority="2257" operator="equal">
      <formula>"gut"</formula>
    </cfRule>
    <cfRule type="cellIs" dxfId="428" priority="2258" operator="equal">
      <formula>"schlecht"</formula>
    </cfRule>
    <cfRule type="cellIs" dxfId="427" priority="2256" operator="equal">
      <formula>"mässig"</formula>
    </cfRule>
  </conditionalFormatting>
  <conditionalFormatting sqref="S154:T154">
    <cfRule type="cellIs" dxfId="424" priority="1691" operator="equal">
      <formula>"schlecht"</formula>
    </cfRule>
    <cfRule type="cellIs" dxfId="423" priority="1692" operator="equal">
      <formula>"gut"</formula>
    </cfRule>
    <cfRule type="cellIs" dxfId="422" priority="1693" operator="equal">
      <formula>"mässig"</formula>
    </cfRule>
  </conditionalFormatting>
  <conditionalFormatting sqref="S155:T155">
    <cfRule type="cellIs" dxfId="421" priority="2051" operator="equal">
      <formula>2</formula>
    </cfRule>
    <cfRule type="cellIs" dxfId="420" priority="2052" operator="equal">
      <formula>3</formula>
    </cfRule>
    <cfRule type="cellIs" dxfId="419" priority="2053" operator="equal">
      <formula>1</formula>
    </cfRule>
  </conditionalFormatting>
  <conditionalFormatting sqref="S248:T248">
    <cfRule type="cellIs" dxfId="418" priority="1406" operator="equal">
      <formula>"mässig"</formula>
    </cfRule>
    <cfRule type="cellIs" dxfId="417" priority="1407" operator="equal">
      <formula>"gut"</formula>
    </cfRule>
    <cfRule type="cellIs" dxfId="416" priority="1408" operator="equal">
      <formula>"schlecht"</formula>
    </cfRule>
  </conditionalFormatting>
  <conditionalFormatting sqref="S267:T267">
    <cfRule type="cellIs" dxfId="415" priority="2958" operator="equal">
      <formula>"schlecht"</formula>
    </cfRule>
    <cfRule type="cellIs" dxfId="414" priority="2959" operator="equal">
      <formula>"gut"</formula>
    </cfRule>
    <cfRule type="cellIs" dxfId="413" priority="2960" operator="equal">
      <formula>"mässig"</formula>
    </cfRule>
  </conditionalFormatting>
  <conditionalFormatting sqref="S268:T268">
    <cfRule type="cellIs" dxfId="412" priority="3208" operator="equal">
      <formula>3</formula>
    </cfRule>
    <cfRule type="cellIs" dxfId="411" priority="3209" operator="equal">
      <formula>1</formula>
    </cfRule>
    <cfRule type="cellIs" dxfId="410" priority="3207" operator="equal">
      <formula>2</formula>
    </cfRule>
  </conditionalFormatting>
  <conditionalFormatting sqref="T16">
    <cfRule type="cellIs" dxfId="409" priority="30" operator="equal">
      <formula>"schlecht"</formula>
    </cfRule>
    <cfRule type="cellIs" dxfId="408" priority="29" operator="equal">
      <formula>"gut"</formula>
    </cfRule>
    <cfRule type="cellIs" dxfId="407" priority="28" operator="equal">
      <formula>"mässig"</formula>
    </cfRule>
  </conditionalFormatting>
  <conditionalFormatting sqref="T109">
    <cfRule type="cellIs" dxfId="405" priority="2243" operator="equal">
      <formula>"schlecht"</formula>
    </cfRule>
    <cfRule type="cellIs" dxfId="404" priority="2241" operator="equal">
      <formula>"mässig"</formula>
    </cfRule>
    <cfRule type="cellIs" dxfId="403" priority="2242" operator="equal">
      <formula>"gut"</formula>
    </cfRule>
  </conditionalFormatting>
  <conditionalFormatting sqref="T120">
    <cfRule type="cellIs" dxfId="402" priority="2111" operator="equal">
      <formula>"mässig"</formula>
    </cfRule>
    <cfRule type="cellIs" dxfId="401" priority="2113" operator="equal">
      <formula>"schlecht"</formula>
    </cfRule>
    <cfRule type="cellIs" dxfId="400" priority="2112" operator="equal">
      <formula>"gut"</formula>
    </cfRule>
  </conditionalFormatting>
  <conditionalFormatting sqref="T130">
    <cfRule type="cellIs" dxfId="399" priority="284" operator="equal">
      <formula>"mässig"</formula>
    </cfRule>
    <cfRule type="cellIs" dxfId="398" priority="285" operator="equal">
      <formula>"gut"</formula>
    </cfRule>
    <cfRule type="cellIs" dxfId="397" priority="286" operator="equal">
      <formula>"schlecht"</formula>
    </cfRule>
  </conditionalFormatting>
  <conditionalFormatting sqref="T132">
    <cfRule type="expression" dxfId="396" priority="154">
      <formula>$T$135="keine Korrektur"</formula>
    </cfRule>
  </conditionalFormatting>
  <conditionalFormatting sqref="T142">
    <cfRule type="cellIs" dxfId="395" priority="2184" operator="equal">
      <formula>"mässig"</formula>
    </cfRule>
    <cfRule type="cellIs" dxfId="394" priority="2185" operator="equal">
      <formula>"gut"</formula>
    </cfRule>
    <cfRule type="cellIs" dxfId="393" priority="2186" operator="equal">
      <formula>"schlecht"</formula>
    </cfRule>
  </conditionalFormatting>
  <conditionalFormatting sqref="T166">
    <cfRule type="cellIs" dxfId="392" priority="2157" operator="equal">
      <formula>"mässig"</formula>
    </cfRule>
    <cfRule type="cellIs" dxfId="391" priority="2158" operator="equal">
      <formula>"gut"</formula>
    </cfRule>
    <cfRule type="cellIs" dxfId="390" priority="2159" operator="equal">
      <formula>"schlecht"</formula>
    </cfRule>
  </conditionalFormatting>
  <conditionalFormatting sqref="T177">
    <cfRule type="cellIs" dxfId="389" priority="1531" operator="equal">
      <formula>"gut"</formula>
    </cfRule>
    <cfRule type="cellIs" dxfId="388" priority="1530" operator="equal">
      <formula>"mässig"</formula>
    </cfRule>
    <cfRule type="cellIs" dxfId="387" priority="1532" operator="equal">
      <formula>"schlecht"</formula>
    </cfRule>
  </conditionalFormatting>
  <conditionalFormatting sqref="T200">
    <cfRule type="cellIs" dxfId="386" priority="1543" operator="equal">
      <formula>"gut"</formula>
    </cfRule>
    <cfRule type="cellIs" dxfId="385" priority="1542" operator="equal">
      <formula>"mässig"</formula>
    </cfRule>
    <cfRule type="cellIs" dxfId="384" priority="1544" operator="equal">
      <formula>"schlecht"</formula>
    </cfRule>
  </conditionalFormatting>
  <conditionalFormatting sqref="T211">
    <cfRule type="cellIs" dxfId="383" priority="1516" operator="equal">
      <formula>"schlecht"</formula>
    </cfRule>
    <cfRule type="cellIs" dxfId="382" priority="1515" operator="equal">
      <formula>"gut"</formula>
    </cfRule>
    <cfRule type="cellIs" dxfId="381" priority="1514" operator="equal">
      <formula>"mässig"</formula>
    </cfRule>
  </conditionalFormatting>
  <conditionalFormatting sqref="T222">
    <cfRule type="cellIs" dxfId="380" priority="1497" operator="equal">
      <formula>"mässig"</formula>
    </cfRule>
    <cfRule type="cellIs" dxfId="379" priority="1498" operator="equal">
      <formula>"gut"</formula>
    </cfRule>
    <cfRule type="cellIs" dxfId="378" priority="1499" operator="equal">
      <formula>"schlecht"</formula>
    </cfRule>
  </conditionalFormatting>
  <conditionalFormatting sqref="T232">
    <cfRule type="cellIs" dxfId="377" priority="225" operator="equal">
      <formula>"gut"</formula>
    </cfRule>
    <cfRule type="cellIs" dxfId="376" priority="224" operator="equal">
      <formula>"mässig"</formula>
    </cfRule>
    <cfRule type="cellIs" dxfId="375" priority="226" operator="equal">
      <formula>"schlecht"</formula>
    </cfRule>
  </conditionalFormatting>
  <conditionalFormatting sqref="T234">
    <cfRule type="expression" dxfId="374" priority="149">
      <formula>$T$237="keine Korrektur"</formula>
    </cfRule>
  </conditionalFormatting>
  <conditionalFormatting sqref="T243">
    <cfRule type="cellIs" dxfId="373" priority="194" operator="equal">
      <formula>"mässig"</formula>
    </cfRule>
    <cfRule type="cellIs" dxfId="372" priority="195" operator="equal">
      <formula>"gut"</formula>
    </cfRule>
    <cfRule type="cellIs" dxfId="371" priority="196" operator="equal">
      <formula>"schlecht"</formula>
    </cfRule>
  </conditionalFormatting>
  <conditionalFormatting sqref="T245">
    <cfRule type="expression" dxfId="370" priority="144">
      <formula>$T$248="keine Korrektur"</formula>
    </cfRule>
  </conditionalFormatting>
  <conditionalFormatting sqref="T255">
    <cfRule type="cellIs" dxfId="369" priority="1466" operator="equal">
      <formula>"mässig"</formula>
    </cfRule>
    <cfRule type="cellIs" dxfId="368" priority="1467" operator="equal">
      <formula>"gut"</formula>
    </cfRule>
    <cfRule type="cellIs" dxfId="367" priority="1468" operator="equal">
      <formula>"schlecht"</formula>
    </cfRule>
  </conditionalFormatting>
  <conditionalFormatting sqref="T10:U10">
    <cfRule type="cellIs" dxfId="366" priority="316" operator="equal">
      <formula>"schlecht"</formula>
    </cfRule>
    <cfRule type="cellIs" dxfId="365" priority="314" operator="equal">
      <formula>"mässig"</formula>
    </cfRule>
    <cfRule type="cellIs" dxfId="364" priority="315" operator="equal">
      <formula>"gut"</formula>
    </cfRule>
  </conditionalFormatting>
  <conditionalFormatting sqref="T153:U153">
    <cfRule type="cellIs" dxfId="363" priority="256" operator="equal">
      <formula>"schlecht"</formula>
    </cfRule>
    <cfRule type="cellIs" dxfId="362" priority="255" operator="equal">
      <formula>"gut"</formula>
    </cfRule>
    <cfRule type="cellIs" dxfId="361" priority="254" operator="equal">
      <formula>"mässig"</formula>
    </cfRule>
  </conditionalFormatting>
  <conditionalFormatting sqref="T266:U266">
    <cfRule type="cellIs" dxfId="360" priority="165" operator="equal">
      <formula>"gut"</formula>
    </cfRule>
    <cfRule type="cellIs" dxfId="359" priority="164" operator="equal">
      <formula>"mässig"</formula>
    </cfRule>
    <cfRule type="cellIs" dxfId="358" priority="166" operator="equal">
      <formula>"schlecht"</formula>
    </cfRule>
  </conditionalFormatting>
  <conditionalFormatting sqref="U129:V130">
    <cfRule type="cellIs" dxfId="357" priority="282" operator="equal">
      <formula>"gut"</formula>
    </cfRule>
    <cfRule type="cellIs" dxfId="356" priority="281" operator="equal">
      <formula>"mässig"</formula>
    </cfRule>
    <cfRule type="cellIs" dxfId="355" priority="283" operator="equal">
      <formula>"schlecht"</formula>
    </cfRule>
  </conditionalFormatting>
  <conditionalFormatting sqref="U231:V232">
    <cfRule type="cellIs" dxfId="354" priority="221" operator="equal">
      <formula>"mässig"</formula>
    </cfRule>
    <cfRule type="cellIs" dxfId="353" priority="223" operator="equal">
      <formula>"schlecht"</formula>
    </cfRule>
    <cfRule type="cellIs" dxfId="352" priority="222" operator="equal">
      <formula>"gut"</formula>
    </cfRule>
  </conditionalFormatting>
  <conditionalFormatting sqref="U242:V243">
    <cfRule type="cellIs" dxfId="351" priority="193" operator="equal">
      <formula>"schlecht"</formula>
    </cfRule>
    <cfRule type="cellIs" dxfId="350" priority="192" operator="equal">
      <formula>"gut"</formula>
    </cfRule>
    <cfRule type="cellIs" dxfId="349" priority="191" operator="equal">
      <formula>"mässig"</formula>
    </cfRule>
  </conditionalFormatting>
  <conditionalFormatting sqref="V9:V10">
    <cfRule type="cellIs" dxfId="348" priority="311" operator="equal">
      <formula>"mässig"</formula>
    </cfRule>
    <cfRule type="cellIs" dxfId="347" priority="312" operator="equal">
      <formula>"gut"</formula>
    </cfRule>
    <cfRule type="cellIs" dxfId="346" priority="313" operator="equal">
      <formula>"schlecht"</formula>
    </cfRule>
  </conditionalFormatting>
  <conditionalFormatting sqref="V16">
    <cfRule type="cellIs" dxfId="343" priority="24" operator="equal">
      <formula>"mässig"</formula>
    </cfRule>
    <cfRule type="cellIs" dxfId="342" priority="25" operator="equal">
      <formula>"gut"</formula>
    </cfRule>
    <cfRule type="cellIs" dxfId="341" priority="26" operator="equal">
      <formula>"schlecht"</formula>
    </cfRule>
  </conditionalFormatting>
  <conditionalFormatting sqref="V30">
    <cfRule type="cellIs" dxfId="340" priority="1139" operator="equal">
      <formula>"mässig"</formula>
    </cfRule>
    <cfRule type="cellIs" dxfId="339" priority="1140" operator="equal">
      <formula>"gut"</formula>
    </cfRule>
    <cfRule type="cellIs" dxfId="338" priority="1141" operator="equal">
      <formula>"schlecht"</formula>
    </cfRule>
  </conditionalFormatting>
  <conditionalFormatting sqref="V41">
    <cfRule type="cellIs" dxfId="337" priority="1091" operator="equal">
      <formula>"mässig"</formula>
    </cfRule>
    <cfRule type="cellIs" dxfId="336" priority="1093" operator="equal">
      <formula>"schlecht"</formula>
    </cfRule>
    <cfRule type="cellIs" dxfId="335" priority="1092" operator="equal">
      <formula>"gut"</formula>
    </cfRule>
  </conditionalFormatting>
  <conditionalFormatting sqref="V52">
    <cfRule type="cellIs" dxfId="334" priority="1043" operator="equal">
      <formula>"mässig"</formula>
    </cfRule>
    <cfRule type="cellIs" dxfId="333" priority="1044" operator="equal">
      <formula>"gut"</formula>
    </cfRule>
    <cfRule type="cellIs" dxfId="332" priority="1045" operator="equal">
      <formula>"schlecht"</formula>
    </cfRule>
  </conditionalFormatting>
  <conditionalFormatting sqref="V63">
    <cfRule type="cellIs" dxfId="331" priority="995" operator="equal">
      <formula>"mässig"</formula>
    </cfRule>
    <cfRule type="cellIs" dxfId="330" priority="996" operator="equal">
      <formula>"gut"</formula>
    </cfRule>
    <cfRule type="cellIs" dxfId="329" priority="997" operator="equal">
      <formula>"schlecht"</formula>
    </cfRule>
  </conditionalFormatting>
  <conditionalFormatting sqref="V74">
    <cfRule type="cellIs" dxfId="328" priority="949" operator="equal">
      <formula>"schlecht"</formula>
    </cfRule>
    <cfRule type="cellIs" dxfId="327" priority="947" operator="equal">
      <formula>"mässig"</formula>
    </cfRule>
    <cfRule type="cellIs" dxfId="326" priority="948" operator="equal">
      <formula>"gut"</formula>
    </cfRule>
  </conditionalFormatting>
  <conditionalFormatting sqref="V85">
    <cfRule type="cellIs" dxfId="325" priority="901" operator="equal">
      <formula>"schlecht"</formula>
    </cfRule>
    <cfRule type="cellIs" dxfId="324" priority="899" operator="equal">
      <formula>"mässig"</formula>
    </cfRule>
    <cfRule type="cellIs" dxfId="323" priority="900" operator="equal">
      <formula>"gut"</formula>
    </cfRule>
  </conditionalFormatting>
  <conditionalFormatting sqref="V96">
    <cfRule type="cellIs" dxfId="322" priority="578" operator="equal">
      <formula>"mässig"</formula>
    </cfRule>
    <cfRule type="cellIs" dxfId="321" priority="579" operator="equal">
      <formula>"gut"</formula>
    </cfRule>
    <cfRule type="cellIs" dxfId="320" priority="580" operator="equal">
      <formula>"schlecht"</formula>
    </cfRule>
  </conditionalFormatting>
  <conditionalFormatting sqref="V97">
    <cfRule type="cellIs" dxfId="319" priority="6" operator="equal">
      <formula>"gut"</formula>
    </cfRule>
    <cfRule type="cellIs" dxfId="318" priority="5" operator="equal">
      <formula>"schlecht"</formula>
    </cfRule>
    <cfRule type="cellIs" dxfId="317" priority="7" operator="equal">
      <formula>"mässig"</formula>
    </cfRule>
  </conditionalFormatting>
  <conditionalFormatting sqref="V98">
    <cfRule type="cellIs" dxfId="316" priority="75" operator="equal">
      <formula>2</formula>
    </cfRule>
    <cfRule type="cellIs" dxfId="315" priority="77" operator="equal">
      <formula>1</formula>
    </cfRule>
    <cfRule type="cellIs" dxfId="314" priority="76" operator="equal">
      <formula>3</formula>
    </cfRule>
  </conditionalFormatting>
  <conditionalFormatting sqref="V108">
    <cfRule type="cellIs" dxfId="313" priority="748" operator="equal">
      <formula>"schlecht"</formula>
    </cfRule>
    <cfRule type="cellIs" dxfId="312" priority="746" operator="equal">
      <formula>"mässig"</formula>
    </cfRule>
    <cfRule type="cellIs" dxfId="311" priority="747" operator="equal">
      <formula>"gut"</formula>
    </cfRule>
  </conditionalFormatting>
  <conditionalFormatting sqref="V119">
    <cfRule type="cellIs" dxfId="310" priority="733" operator="equal">
      <formula>"schlecht"</formula>
    </cfRule>
    <cfRule type="cellIs" dxfId="309" priority="732" operator="equal">
      <formula>"gut"</formula>
    </cfRule>
    <cfRule type="cellIs" dxfId="308" priority="731" operator="equal">
      <formula>"mässig"</formula>
    </cfRule>
  </conditionalFormatting>
  <conditionalFormatting sqref="V141">
    <cfRule type="cellIs" dxfId="307" priority="698" operator="equal">
      <formula>"mässig"</formula>
    </cfRule>
    <cfRule type="cellIs" dxfId="306" priority="699" operator="equal">
      <formula>"gut"</formula>
    </cfRule>
    <cfRule type="cellIs" dxfId="305" priority="700" operator="equal">
      <formula>"schlecht"</formula>
    </cfRule>
  </conditionalFormatting>
  <conditionalFormatting sqref="V152:V153">
    <cfRule type="cellIs" dxfId="304" priority="251" operator="equal">
      <formula>"mässig"</formula>
    </cfRule>
    <cfRule type="cellIs" dxfId="303" priority="253" operator="equal">
      <formula>"schlecht"</formula>
    </cfRule>
    <cfRule type="cellIs" dxfId="302" priority="252" operator="equal">
      <formula>"gut"</formula>
    </cfRule>
  </conditionalFormatting>
  <conditionalFormatting sqref="V165">
    <cfRule type="cellIs" dxfId="301" priority="610" operator="equal">
      <formula>"schlecht"</formula>
    </cfRule>
    <cfRule type="cellIs" dxfId="300" priority="609" operator="equal">
      <formula>"gut"</formula>
    </cfRule>
    <cfRule type="cellIs" dxfId="299" priority="608" operator="equal">
      <formula>"mässig"</formula>
    </cfRule>
  </conditionalFormatting>
  <conditionalFormatting sqref="V176">
    <cfRule type="cellIs" dxfId="298" priority="593" operator="equal">
      <formula>"mässig"</formula>
    </cfRule>
    <cfRule type="cellIs" dxfId="297" priority="594" operator="equal">
      <formula>"gut"</formula>
    </cfRule>
    <cfRule type="cellIs" dxfId="296" priority="595" operator="equal">
      <formula>"schlecht"</formula>
    </cfRule>
  </conditionalFormatting>
  <conditionalFormatting sqref="V187:V188">
    <cfRule type="cellIs" dxfId="295" priority="565" operator="equal">
      <formula>"schlecht"</formula>
    </cfRule>
    <cfRule type="cellIs" dxfId="294" priority="563" operator="equal">
      <formula>"mässig"</formula>
    </cfRule>
    <cfRule type="cellIs" dxfId="293" priority="564" operator="equal">
      <formula>"gut"</formula>
    </cfRule>
  </conditionalFormatting>
  <conditionalFormatting sqref="V189">
    <cfRule type="cellIs" dxfId="292" priority="3588" operator="equal">
      <formula>2</formula>
    </cfRule>
    <cfRule type="cellIs" dxfId="291" priority="3589" operator="equal">
      <formula>3</formula>
    </cfRule>
    <cfRule type="cellIs" dxfId="290" priority="3590" operator="equal">
      <formula>1</formula>
    </cfRule>
  </conditionalFormatting>
  <conditionalFormatting sqref="V199">
    <cfRule type="cellIs" dxfId="289" priority="550" operator="equal">
      <formula>"schlecht"</formula>
    </cfRule>
    <cfRule type="cellIs" dxfId="288" priority="549" operator="equal">
      <formula>"gut"</formula>
    </cfRule>
    <cfRule type="cellIs" dxfId="287" priority="548" operator="equal">
      <formula>"mässig"</formula>
    </cfRule>
  </conditionalFormatting>
  <conditionalFormatting sqref="V210">
    <cfRule type="cellIs" dxfId="286" priority="533" operator="equal">
      <formula>"mässig"</formula>
    </cfRule>
    <cfRule type="cellIs" dxfId="285" priority="534" operator="equal">
      <formula>"gut"</formula>
    </cfRule>
    <cfRule type="cellIs" dxfId="284" priority="535" operator="equal">
      <formula>"schlecht"</formula>
    </cfRule>
  </conditionalFormatting>
  <conditionalFormatting sqref="V221">
    <cfRule type="cellIs" dxfId="283" priority="518" operator="equal">
      <formula>"mässig"</formula>
    </cfRule>
    <cfRule type="cellIs" dxfId="282" priority="519" operator="equal">
      <formula>"gut"</formula>
    </cfRule>
    <cfRule type="cellIs" dxfId="281" priority="520" operator="equal">
      <formula>"schlecht"</formula>
    </cfRule>
  </conditionalFormatting>
  <conditionalFormatting sqref="V254">
    <cfRule type="cellIs" dxfId="280" priority="489" operator="equal">
      <formula>"gut"</formula>
    </cfRule>
    <cfRule type="cellIs" dxfId="279" priority="488" operator="equal">
      <formula>"mässig"</formula>
    </cfRule>
    <cfRule type="cellIs" dxfId="278" priority="490" operator="equal">
      <formula>"schlecht"</formula>
    </cfRule>
  </conditionalFormatting>
  <conditionalFormatting sqref="V265:V266">
    <cfRule type="cellIs" dxfId="277" priority="161" operator="equal">
      <formula>"mässig"</formula>
    </cfRule>
    <cfRule type="cellIs" dxfId="276" priority="163" operator="equal">
      <formula>"schlecht"</formula>
    </cfRule>
    <cfRule type="cellIs" dxfId="275" priority="162" operator="equal">
      <formula>"gut"</formula>
    </cfRule>
  </conditionalFormatting>
  <conditionalFormatting sqref="V42:W42">
    <cfRule type="cellIs" dxfId="273" priority="2313" operator="equal">
      <formula>"mässig"</formula>
    </cfRule>
    <cfRule type="cellIs" dxfId="272" priority="2314" operator="equal">
      <formula>"gut"</formula>
    </cfRule>
    <cfRule type="cellIs" dxfId="271" priority="2315" operator="equal">
      <formula>"schlecht"</formula>
    </cfRule>
  </conditionalFormatting>
  <conditionalFormatting sqref="V53:W53">
    <cfRule type="cellIs" dxfId="270" priority="2300" operator="equal">
      <formula>"schlecht"</formula>
    </cfRule>
    <cfRule type="cellIs" dxfId="269" priority="2298" operator="equal">
      <formula>"mässig"</formula>
    </cfRule>
    <cfRule type="cellIs" dxfId="268" priority="2299" operator="equal">
      <formula>"gut"</formula>
    </cfRule>
  </conditionalFormatting>
  <conditionalFormatting sqref="V64:W64">
    <cfRule type="cellIs" dxfId="267" priority="2283" operator="equal">
      <formula>"mässig"</formula>
    </cfRule>
    <cfRule type="cellIs" dxfId="266" priority="2284" operator="equal">
      <formula>"gut"</formula>
    </cfRule>
    <cfRule type="cellIs" dxfId="265" priority="2285" operator="equal">
      <formula>"schlecht"</formula>
    </cfRule>
  </conditionalFormatting>
  <conditionalFormatting sqref="V75:W75">
    <cfRule type="cellIs" dxfId="264" priority="2268" operator="equal">
      <formula>"mässig"</formula>
    </cfRule>
    <cfRule type="cellIs" dxfId="263" priority="2270" operator="equal">
      <formula>"schlecht"</formula>
    </cfRule>
    <cfRule type="cellIs" dxfId="262" priority="2269" operator="equal">
      <formula>"gut"</formula>
    </cfRule>
  </conditionalFormatting>
  <conditionalFormatting sqref="V86:W86">
    <cfRule type="cellIs" dxfId="261" priority="2255" operator="equal">
      <formula>"schlecht"</formula>
    </cfRule>
    <cfRule type="cellIs" dxfId="260" priority="2254" operator="equal">
      <formula>"gut"</formula>
    </cfRule>
    <cfRule type="cellIs" dxfId="259" priority="2253" operator="equal">
      <formula>"mässig"</formula>
    </cfRule>
  </conditionalFormatting>
  <conditionalFormatting sqref="V154:W154">
    <cfRule type="cellIs" dxfId="256" priority="1559" operator="equal">
      <formula>"schlecht"</formula>
    </cfRule>
    <cfRule type="cellIs" dxfId="255" priority="1560" operator="equal">
      <formula>"gut"</formula>
    </cfRule>
    <cfRule type="cellIs" dxfId="254" priority="1561" operator="equal">
      <formula>"mässig"</formula>
    </cfRule>
  </conditionalFormatting>
  <conditionalFormatting sqref="V155:W155">
    <cfRule type="cellIs" dxfId="253" priority="2048" operator="equal">
      <formula>2</formula>
    </cfRule>
    <cfRule type="cellIs" dxfId="252" priority="2049" operator="equal">
      <formula>3</formula>
    </cfRule>
    <cfRule type="cellIs" dxfId="251" priority="2050" operator="equal">
      <formula>1</formula>
    </cfRule>
  </conditionalFormatting>
  <conditionalFormatting sqref="V248:W248">
    <cfRule type="cellIs" dxfId="250" priority="1403" operator="equal">
      <formula>"mässig"</formula>
    </cfRule>
    <cfRule type="cellIs" dxfId="249" priority="1405" operator="equal">
      <formula>"schlecht"</formula>
    </cfRule>
    <cfRule type="cellIs" dxfId="248" priority="1404" operator="equal">
      <formula>"gut"</formula>
    </cfRule>
  </conditionalFormatting>
  <conditionalFormatting sqref="V267:W267">
    <cfRule type="cellIs" dxfId="247" priority="2924" operator="equal">
      <formula>"mässig"</formula>
    </cfRule>
    <cfRule type="cellIs" dxfId="246" priority="2922" operator="equal">
      <formula>"schlecht"</formula>
    </cfRule>
    <cfRule type="cellIs" dxfId="245" priority="2923" operator="equal">
      <formula>"gut"</formula>
    </cfRule>
  </conditionalFormatting>
  <conditionalFormatting sqref="V268:W268">
    <cfRule type="cellIs" dxfId="244" priority="3205" operator="equal">
      <formula>3</formula>
    </cfRule>
    <cfRule type="cellIs" dxfId="243" priority="3204" operator="equal">
      <formula>2</formula>
    </cfRule>
    <cfRule type="cellIs" dxfId="242" priority="3206" operator="equal">
      <formula>1</formula>
    </cfRule>
  </conditionalFormatting>
  <conditionalFormatting sqref="W10">
    <cfRule type="cellIs" dxfId="241" priority="310" operator="equal">
      <formula>"schlecht"</formula>
    </cfRule>
    <cfRule type="cellIs" dxfId="240" priority="309" operator="equal">
      <formula>"gut"</formula>
    </cfRule>
    <cfRule type="cellIs" dxfId="239" priority="308" operator="equal">
      <formula>"mässig"</formula>
    </cfRule>
  </conditionalFormatting>
  <conditionalFormatting sqref="W16">
    <cfRule type="cellIs" dxfId="238" priority="18" operator="equal">
      <formula>"gut"</formula>
    </cfRule>
    <cfRule type="cellIs" dxfId="236" priority="17" operator="equal">
      <formula>"mässig"</formula>
    </cfRule>
    <cfRule type="cellIs" dxfId="235" priority="19" operator="equal">
      <formula>"schlecht"</formula>
    </cfRule>
  </conditionalFormatting>
  <conditionalFormatting sqref="W95">
    <cfRule type="cellIs" dxfId="234" priority="763" operator="equal">
      <formula>1</formula>
    </cfRule>
    <cfRule type="cellIs" dxfId="233" priority="762" operator="equal">
      <formula>3</formula>
    </cfRule>
    <cfRule type="cellIs" dxfId="232" priority="761" operator="equal">
      <formula>2</formula>
    </cfRule>
  </conditionalFormatting>
  <conditionalFormatting sqref="W99">
    <cfRule type="cellIs" dxfId="231" priority="124" operator="equal">
      <formula>1</formula>
    </cfRule>
    <cfRule type="cellIs" dxfId="230" priority="122" operator="equal">
      <formula>2</formula>
    </cfRule>
    <cfRule type="cellIs" dxfId="229" priority="123" operator="equal">
      <formula>3</formula>
    </cfRule>
  </conditionalFormatting>
  <conditionalFormatting sqref="W109">
    <cfRule type="cellIs" dxfId="228" priority="2238" operator="equal">
      <formula>"mässig"</formula>
    </cfRule>
    <cfRule type="cellIs" dxfId="227" priority="2240" operator="equal">
      <formula>"schlecht"</formula>
    </cfRule>
    <cfRule type="cellIs" dxfId="226" priority="2239" operator="equal">
      <formula>"gut"</formula>
    </cfRule>
  </conditionalFormatting>
  <conditionalFormatting sqref="W120">
    <cfRule type="cellIs" dxfId="225" priority="2109" operator="equal">
      <formula>"gut"</formula>
    </cfRule>
    <cfRule type="cellIs" dxfId="224" priority="2110" operator="equal">
      <formula>"schlecht"</formula>
    </cfRule>
    <cfRule type="cellIs" dxfId="223" priority="2108" operator="equal">
      <formula>"mässig"</formula>
    </cfRule>
  </conditionalFormatting>
  <conditionalFormatting sqref="W130">
    <cfRule type="cellIs" dxfId="222" priority="278" operator="equal">
      <formula>"mässig"</formula>
    </cfRule>
    <cfRule type="cellIs" dxfId="221" priority="280" operator="equal">
      <formula>"schlecht"</formula>
    </cfRule>
    <cfRule type="cellIs" dxfId="220" priority="279" operator="equal">
      <formula>"gut"</formula>
    </cfRule>
  </conditionalFormatting>
  <conditionalFormatting sqref="W132">
    <cfRule type="expression" dxfId="219" priority="153">
      <formula>$W$135="keine Korrektur"</formula>
    </cfRule>
  </conditionalFormatting>
  <conditionalFormatting sqref="W142">
    <cfRule type="cellIs" dxfId="218" priority="2183" operator="equal">
      <formula>"schlecht"</formula>
    </cfRule>
    <cfRule type="cellIs" dxfId="217" priority="2182" operator="equal">
      <formula>"gut"</formula>
    </cfRule>
    <cfRule type="cellIs" dxfId="216" priority="2181" operator="equal">
      <formula>"mässig"</formula>
    </cfRule>
  </conditionalFormatting>
  <conditionalFormatting sqref="W153">
    <cfRule type="cellIs" dxfId="215" priority="250" operator="equal">
      <formula>"schlecht"</formula>
    </cfRule>
    <cfRule type="cellIs" dxfId="214" priority="249" operator="equal">
      <formula>"gut"</formula>
    </cfRule>
    <cfRule type="cellIs" dxfId="213" priority="248" operator="equal">
      <formula>"mässig"</formula>
    </cfRule>
  </conditionalFormatting>
  <conditionalFormatting sqref="W156">
    <cfRule type="cellIs" dxfId="212" priority="117" operator="equal">
      <formula>3</formula>
    </cfRule>
    <cfRule type="cellIs" dxfId="211" priority="118" operator="equal">
      <formula>1</formula>
    </cfRule>
    <cfRule type="cellIs" dxfId="210" priority="116" operator="equal">
      <formula>2</formula>
    </cfRule>
  </conditionalFormatting>
  <conditionalFormatting sqref="W166">
    <cfRule type="cellIs" dxfId="209" priority="2156" operator="equal">
      <formula>"schlecht"</formula>
    </cfRule>
    <cfRule type="cellIs" dxfId="208" priority="2155" operator="equal">
      <formula>"gut"</formula>
    </cfRule>
    <cfRule type="cellIs" dxfId="207" priority="2154" operator="equal">
      <formula>"mässig"</formula>
    </cfRule>
  </conditionalFormatting>
  <conditionalFormatting sqref="W177">
    <cfRule type="cellIs" dxfId="206" priority="1529" operator="equal">
      <formula>"schlecht"</formula>
    </cfRule>
    <cfRule type="cellIs" dxfId="205" priority="1527" operator="equal">
      <formula>"mässig"</formula>
    </cfRule>
    <cfRule type="cellIs" dxfId="204" priority="1528" operator="equal">
      <formula>"gut"</formula>
    </cfRule>
  </conditionalFormatting>
  <conditionalFormatting sqref="W190">
    <cfRule type="cellIs" dxfId="203" priority="112" operator="equal">
      <formula>1</formula>
    </cfRule>
    <cfRule type="cellIs" dxfId="202" priority="111" operator="equal">
      <formula>3</formula>
    </cfRule>
    <cfRule type="cellIs" dxfId="201" priority="110" operator="equal">
      <formula>2</formula>
    </cfRule>
  </conditionalFormatting>
  <conditionalFormatting sqref="W200">
    <cfRule type="cellIs" dxfId="200" priority="1541" operator="equal">
      <formula>"schlecht"</formula>
    </cfRule>
    <cfRule type="cellIs" dxfId="199" priority="1540" operator="equal">
      <formula>"gut"</formula>
    </cfRule>
    <cfRule type="cellIs" dxfId="198" priority="1539" operator="equal">
      <formula>"mässig"</formula>
    </cfRule>
  </conditionalFormatting>
  <conditionalFormatting sqref="W211">
    <cfRule type="cellIs" dxfId="197" priority="1511" operator="equal">
      <formula>"mässig"</formula>
    </cfRule>
    <cfRule type="cellIs" dxfId="196" priority="1512" operator="equal">
      <formula>"gut"</formula>
    </cfRule>
    <cfRule type="cellIs" dxfId="195" priority="1513" operator="equal">
      <formula>"schlecht"</formula>
    </cfRule>
  </conditionalFormatting>
  <conditionalFormatting sqref="W222">
    <cfRule type="cellIs" dxfId="194" priority="1494" operator="equal">
      <formula>"mässig"</formula>
    </cfRule>
    <cfRule type="cellIs" dxfId="193" priority="1496" operator="equal">
      <formula>"schlecht"</formula>
    </cfRule>
    <cfRule type="cellIs" dxfId="192" priority="1495" operator="equal">
      <formula>"gut"</formula>
    </cfRule>
  </conditionalFormatting>
  <conditionalFormatting sqref="W232">
    <cfRule type="cellIs" dxfId="191" priority="220" operator="equal">
      <formula>"schlecht"</formula>
    </cfRule>
    <cfRule type="cellIs" dxfId="190" priority="219" operator="equal">
      <formula>"gut"</formula>
    </cfRule>
    <cfRule type="cellIs" dxfId="189" priority="218" operator="equal">
      <formula>"mässig"</formula>
    </cfRule>
  </conditionalFormatting>
  <conditionalFormatting sqref="W234">
    <cfRule type="expression" dxfId="188" priority="148">
      <formula>$W$237="keine Korrektur"</formula>
    </cfRule>
  </conditionalFormatting>
  <conditionalFormatting sqref="W245">
    <cfRule type="expression" dxfId="187" priority="143">
      <formula>$W$248="keine Korrektur"</formula>
    </cfRule>
  </conditionalFormatting>
  <conditionalFormatting sqref="W255">
    <cfRule type="cellIs" dxfId="186" priority="1465" operator="equal">
      <formula>"schlecht"</formula>
    </cfRule>
    <cfRule type="cellIs" dxfId="185" priority="1463" operator="equal">
      <formula>"mässig"</formula>
    </cfRule>
    <cfRule type="cellIs" dxfId="184" priority="1464" operator="equal">
      <formula>"gut"</formula>
    </cfRule>
  </conditionalFormatting>
  <conditionalFormatting sqref="W266">
    <cfRule type="cellIs" dxfId="183" priority="158" operator="equal">
      <formula>"mässig"</formula>
    </cfRule>
    <cfRule type="cellIs" dxfId="182" priority="159" operator="equal">
      <formula>"gut"</formula>
    </cfRule>
    <cfRule type="cellIs" dxfId="181" priority="160" operator="equal">
      <formula>"schlecht"</formula>
    </cfRule>
  </conditionalFormatting>
  <conditionalFormatting sqref="W269">
    <cfRule type="cellIs" dxfId="180" priority="104" operator="equal">
      <formula>2</formula>
    </cfRule>
    <cfRule type="cellIs" dxfId="179" priority="106" operator="equal">
      <formula>1</formula>
    </cfRule>
    <cfRule type="cellIs" dxfId="178" priority="105" operator="equal">
      <formula>3</formula>
    </cfRule>
  </conditionalFormatting>
  <conditionalFormatting sqref="W243:X243">
    <cfRule type="cellIs" dxfId="177" priority="190" operator="equal">
      <formula>"schlecht"</formula>
    </cfRule>
    <cfRule type="cellIs" dxfId="176" priority="189" operator="equal">
      <formula>"gut"</formula>
    </cfRule>
    <cfRule type="cellIs" dxfId="175" priority="188" operator="equal">
      <formula>"mässig"</formula>
    </cfRule>
  </conditionalFormatting>
  <conditionalFormatting sqref="X246:X247 I246:I248 L246:L248 O246:O248 R246:R248 U246:U248">
    <cfRule type="cellIs" dxfId="174" priority="2903" operator="equal">
      <formula>"schlecht"</formula>
    </cfRule>
    <cfRule type="cellIs" dxfId="173" priority="2901" operator="equal">
      <formula>"mässig"</formula>
    </cfRule>
    <cfRule type="cellIs" dxfId="172" priority="2902" operator="equal">
      <formula>"gut"</formula>
    </cfRule>
  </conditionalFormatting>
  <conditionalFormatting sqref="Y35:Y36">
    <cfRule type="cellIs" dxfId="171" priority="4953" operator="equal">
      <formula>"mässig"</formula>
    </cfRule>
    <cfRule type="cellIs" dxfId="170" priority="4954" operator="equal">
      <formula>"gut"</formula>
    </cfRule>
    <cfRule type="cellIs" dxfId="169" priority="4955" operator="equal">
      <formula>"schlecht"</formula>
    </cfRule>
  </conditionalFormatting>
  <conditionalFormatting sqref="Y68:Y69">
    <cfRule type="cellIs" dxfId="168" priority="4947" operator="equal">
      <formula>"mässig"</formula>
    </cfRule>
    <cfRule type="cellIs" dxfId="167" priority="4949" operator="equal">
      <formula>"schlecht"</formula>
    </cfRule>
    <cfRule type="cellIs" dxfId="166" priority="4948" operator="equal">
      <formula>"gut"</formula>
    </cfRule>
  </conditionalFormatting>
  <dataValidations count="1">
    <dataValidation type="list" allowBlank="1" showInputMessage="1" showErrorMessage="1" sqref="N248 Q248 T248 W248 W237 K135 Q135 T135 W135 K237 N237 Q237 T237 N135 K248" xr:uid="{BADFF7D5-2607-47E9-9028-40D1DA524A1F}">
      <formula1>"keine Korrektur, gut, mässig, schlecht"</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28" id="{FB7B7EA9-1D4F-490C-B57F-DEC0675C9BE6}">
            <xm:f>ISBLANK('(3) Variantenbewertung'!$O$11)=TRUE</xm:f>
            <x14:dxf>
              <font>
                <color theme="0" tint="-4.9989318521683403E-2"/>
              </font>
              <fill>
                <patternFill>
                  <bgColor theme="0" tint="-4.9989318521683403E-2"/>
                </patternFill>
              </fill>
              <border>
                <left/>
                <right/>
                <top/>
                <bottom/>
                <vertical/>
                <horizontal/>
              </border>
            </x14:dxf>
          </x14:cfRule>
          <xm:sqref>G11:G14</xm:sqref>
        </x14:conditionalFormatting>
        <x14:conditionalFormatting xmlns:xm="http://schemas.microsoft.com/office/excel/2006/main">
          <x14:cfRule type="expression" priority="142" id="{A3A6024A-7435-4D51-B2C1-6627541462ED}">
            <xm:f>ISBLANK('(3) Variantenbewertung'!$I$11)=TRUE</xm:f>
            <x14:dxf>
              <font>
                <color theme="0" tint="-0.14996795556505021"/>
              </font>
              <fill>
                <patternFill>
                  <bgColor theme="0" tint="-0.14996795556505021"/>
                </patternFill>
              </fill>
              <border>
                <left/>
                <right/>
                <top/>
                <bottom/>
                <vertical/>
                <horizontal/>
              </border>
            </x14:dxf>
          </x14:cfRule>
          <xm:sqref>J9:K16 J96:K98 J152:K155 J187:K189 J265:K268</xm:sqref>
        </x14:conditionalFormatting>
        <x14:conditionalFormatting xmlns:xm="http://schemas.microsoft.com/office/excel/2006/main">
          <x14:cfRule type="expression" priority="100" id="{8A3289C6-F601-4FF5-99D7-062365C359C0}">
            <xm:f>ISBLANK('(3) Variantenbewertung'!$I$11)=TRUE</xm:f>
            <x14:dxf>
              <font>
                <color theme="0" tint="-4.9989318521683403E-2"/>
              </font>
              <fill>
                <patternFill>
                  <bgColor theme="0" tint="-4.9989318521683403E-2"/>
                </patternFill>
              </fill>
              <border>
                <left/>
                <right/>
                <top/>
                <bottom/>
                <vertical/>
                <horizontal/>
              </border>
            </x14:dxf>
          </x14:cfRule>
          <xm:sqref>J30:K35 J41:K46 J52:K57 J63:K68 J74:K79 J80 J85:K90 J108:K113 J119:K124 J129:K135 J141:K146 J165:K170 J176:K181 J199:K204 J210:K215 J221:K226 J231:K237 J242:K248 J254:K259</xm:sqref>
        </x14:conditionalFormatting>
        <x14:conditionalFormatting xmlns:xm="http://schemas.microsoft.com/office/excel/2006/main">
          <x14:cfRule type="expression" priority="60" id="{3F898D8D-4E57-4E98-96EC-A4976D0C95A1}">
            <xm:f>ISBLANK('(3) Variantenbewertung'!$L$11)=TRUE</xm:f>
            <x14:dxf>
              <font>
                <color theme="0" tint="-0.14996795556505021"/>
              </font>
              <fill>
                <patternFill>
                  <bgColor theme="0" tint="-0.14996795556505021"/>
                </patternFill>
              </fill>
              <border>
                <left/>
                <right/>
                <top/>
                <bottom/>
                <vertical/>
                <horizontal/>
              </border>
            </x14:dxf>
          </x14:cfRule>
          <xm:sqref>K16</xm:sqref>
        </x14:conditionalFormatting>
        <x14:conditionalFormatting xmlns:xm="http://schemas.microsoft.com/office/excel/2006/main">
          <x14:cfRule type="expression" priority="70" id="{5020487D-8C09-4CD1-B117-5B28D2D306C1}">
            <xm:f>ISBLANK('(3) Variantenbewertung'!$I$11)=TRUE</xm:f>
            <x14:dxf>
              <font>
                <color theme="0" tint="-0.14996795556505021"/>
              </font>
              <fill>
                <patternFill>
                  <bgColor theme="0" tint="-0.14996795556505021"/>
                </patternFill>
              </fill>
              <border>
                <left/>
                <right/>
                <top/>
                <bottom/>
                <vertical/>
                <horizontal/>
              </border>
            </x14:dxf>
          </x14:cfRule>
          <xm:sqref>M11</xm:sqref>
        </x14:conditionalFormatting>
        <x14:conditionalFormatting xmlns:xm="http://schemas.microsoft.com/office/excel/2006/main">
          <x14:cfRule type="expression" priority="56" id="{E9D4F1FB-F2BB-46A5-A966-752A26E65E39}">
            <xm:f>ISBLANK('(3) Variantenbewertung'!$I$11)=TRUE</xm:f>
            <x14:dxf>
              <font>
                <color theme="0" tint="-0.14996795556505021"/>
              </font>
              <fill>
                <patternFill>
                  <bgColor theme="0" tint="-0.14996795556505021"/>
                </patternFill>
              </fill>
              <border>
                <left/>
                <right/>
                <top/>
                <bottom/>
                <vertical/>
                <horizontal/>
              </border>
            </x14:dxf>
          </x14:cfRule>
          <xm:sqref>M16</xm:sqref>
        </x14:conditionalFormatting>
        <x14:conditionalFormatting xmlns:xm="http://schemas.microsoft.com/office/excel/2006/main">
          <x14:cfRule type="expression" priority="99" id="{EE9A2B70-EA67-42B0-B868-8149B8237E30}">
            <xm:f>ISBLANK('(3) Variantenbewertung'!$L$11)=TRUE</xm:f>
            <x14:dxf>
              <font>
                <color theme="0" tint="-4.9989318521683403E-2"/>
              </font>
              <fill>
                <patternFill>
                  <bgColor theme="0" tint="-4.9989318521683403E-2"/>
                </patternFill>
              </fill>
              <border>
                <left/>
                <right/>
                <top/>
                <bottom/>
                <vertical/>
                <horizontal/>
              </border>
            </x14:dxf>
          </x14:cfRule>
          <xm:sqref>M30:N35 M41:N46 M52:N57 M63:N68 M74:N79 M85:N90 M108:N113 M119:N124 M129:N135 M141:N146 M165:N170 M176:N181 M199:N204 M210:N215 M221:N226 M231:N237 M242:N248 M254:N259</xm:sqref>
        </x14:conditionalFormatting>
        <x14:conditionalFormatting xmlns:xm="http://schemas.microsoft.com/office/excel/2006/main">
          <x14:cfRule type="expression" priority="141" id="{9E5D2E5F-DE1B-48B5-B206-83920A8E0822}">
            <xm:f>ISBLANK('(3) Variantenbewertung'!$L$11)=TRUE</xm:f>
            <x14:dxf>
              <font>
                <color theme="0" tint="-0.14996795556505021"/>
              </font>
              <fill>
                <patternFill>
                  <bgColor theme="0" tint="-0.14996795556505021"/>
                </patternFill>
              </fill>
              <border>
                <left/>
                <right/>
                <top/>
                <bottom/>
                <vertical/>
                <horizontal/>
              </border>
            </x14:dxf>
          </x14:cfRule>
          <xm:sqref>M96:N98 M9:N16 M152:N155 M187:N189 M265:N268</xm:sqref>
        </x14:conditionalFormatting>
        <x14:conditionalFormatting xmlns:xm="http://schemas.microsoft.com/office/excel/2006/main">
          <x14:cfRule type="expression" priority="86" id="{3BFECCB1-CBFB-4D59-9286-A93E9298C4D2}">
            <xm:f>ISBLANK('(3) Variantenbewertung'!$I$11)=TRUE</xm:f>
            <x14:dxf>
              <font>
                <color theme="0" tint="-0.14996795556505021"/>
              </font>
              <fill>
                <patternFill>
                  <bgColor theme="0" tint="-0.14996795556505021"/>
                </patternFill>
              </fill>
              <border>
                <left/>
                <right/>
                <top/>
                <bottom/>
                <vertical/>
                <horizontal/>
              </border>
            </x14:dxf>
          </x14:cfRule>
          <xm:sqref>M98:N98</xm:sqref>
        </x14:conditionalFormatting>
        <x14:conditionalFormatting xmlns:xm="http://schemas.microsoft.com/office/excel/2006/main">
          <x14:cfRule type="expression" priority="49" id="{76369052-095C-4C15-BF02-6038AC45D80B}">
            <xm:f>ISBLANK('(3) Variantenbewertung'!$L$11)=TRUE</xm:f>
            <x14:dxf>
              <font>
                <color theme="0" tint="-0.14996795556505021"/>
              </font>
              <fill>
                <patternFill>
                  <bgColor theme="0" tint="-0.14996795556505021"/>
                </patternFill>
              </fill>
              <border>
                <left/>
                <right/>
                <top/>
                <bottom/>
                <vertical/>
                <horizontal/>
              </border>
            </x14:dxf>
          </x14:cfRule>
          <xm:sqref>N16</xm:sqref>
        </x14:conditionalFormatting>
        <x14:conditionalFormatting xmlns:xm="http://schemas.microsoft.com/office/excel/2006/main">
          <x14:cfRule type="expression" priority="69" id="{CCEBE740-1D55-476F-AF39-FD1E34373744}">
            <xm:f>ISBLANK('(3) Variantenbewertung'!$I$11)=TRUE</xm:f>
            <x14:dxf>
              <font>
                <color theme="0" tint="-0.14996795556505021"/>
              </font>
              <fill>
                <patternFill>
                  <bgColor theme="0" tint="-0.14996795556505021"/>
                </patternFill>
              </fill>
              <border>
                <left/>
                <right/>
                <top/>
                <bottom/>
                <vertical/>
                <horizontal/>
              </border>
            </x14:dxf>
          </x14:cfRule>
          <xm:sqref>P11</xm:sqref>
        </x14:conditionalFormatting>
        <x14:conditionalFormatting xmlns:xm="http://schemas.microsoft.com/office/excel/2006/main">
          <x14:cfRule type="expression" priority="45" id="{3A1D0F60-8FDF-4114-9CFE-FA9A8A460CF6}">
            <xm:f>ISBLANK('(3) Variantenbewertung'!$I$11)=TRUE</xm:f>
            <x14:dxf>
              <font>
                <color theme="0" tint="-0.14996795556505021"/>
              </font>
              <fill>
                <patternFill>
                  <bgColor theme="0" tint="-0.14996795556505021"/>
                </patternFill>
              </fill>
              <border>
                <left/>
                <right/>
                <top/>
                <bottom/>
                <vertical/>
                <horizontal/>
              </border>
            </x14:dxf>
          </x14:cfRule>
          <xm:sqref>P16</xm:sqref>
        </x14:conditionalFormatting>
        <x14:conditionalFormatting xmlns:xm="http://schemas.microsoft.com/office/excel/2006/main">
          <x14:cfRule type="expression" priority="140" id="{31B31EF4-403E-433C-9D7E-8867B6D020D3}">
            <xm:f>ISBLANK('(3) Variantenbewertung'!$O$11)=TRUE</xm:f>
            <x14:dxf>
              <font>
                <color theme="0" tint="-0.14996795556505021"/>
              </font>
              <fill>
                <patternFill>
                  <bgColor theme="0" tint="-0.14996795556505021"/>
                </patternFill>
              </fill>
              <border>
                <left/>
                <right/>
                <top/>
                <bottom/>
                <vertical/>
                <horizontal/>
              </border>
            </x14:dxf>
          </x14:cfRule>
          <xm:sqref>P9:Q15 P96:Q96 P152:Q155 P187:Q189 P265:Q268</xm:sqref>
        </x14:conditionalFormatting>
        <x14:conditionalFormatting xmlns:xm="http://schemas.microsoft.com/office/excel/2006/main">
          <x14:cfRule type="expression" priority="98" id="{685BF175-C12F-4B10-9DCA-0D4A56D7CBD4}">
            <xm:f>ISBLANK('(3) Variantenbewertung'!$O$11)=TRUE</xm:f>
            <x14:dxf>
              <font>
                <color theme="0" tint="-4.9989318521683403E-2"/>
              </font>
              <fill>
                <patternFill>
                  <bgColor theme="0" tint="-4.9989318521683403E-2"/>
                </patternFill>
              </fill>
              <border>
                <left/>
                <right/>
                <top/>
                <bottom/>
                <vertical/>
                <horizontal/>
              </border>
            </x14:dxf>
          </x14:cfRule>
          <xm:sqref>P30:Q35 P41:Q46 P52:Q57 P63:Q68 P74:Q79 P85:Q90 P108:Q113 P119:Q124 P129:Q135 P141:Q146 P165:Q170 P176:Q181 P199:Q204 P210:Q215 P221:Q226 P231:Q237 P242:Q248 P254:Q259</xm:sqref>
        </x14:conditionalFormatting>
        <x14:conditionalFormatting xmlns:xm="http://schemas.microsoft.com/office/excel/2006/main">
          <x14:cfRule type="expression" priority="12" id="{C85B566F-167D-4F42-B5AA-7D0EFCC0AC17}">
            <xm:f>ISBLANK('(3) Variantenbewertung'!$I$11)=TRUE</xm:f>
            <x14:dxf>
              <font>
                <color theme="0" tint="-0.14996795556505021"/>
              </font>
              <fill>
                <patternFill>
                  <bgColor theme="0" tint="-0.14996795556505021"/>
                </patternFill>
              </fill>
              <border>
                <left/>
                <right/>
                <top/>
                <bottom/>
                <vertical/>
                <horizontal/>
              </border>
            </x14:dxf>
          </x14:cfRule>
          <xm:sqref>P97:Q98</xm:sqref>
        </x14:conditionalFormatting>
        <x14:conditionalFormatting xmlns:xm="http://schemas.microsoft.com/office/excel/2006/main">
          <x14:cfRule type="expression" priority="38" id="{F4C3B186-3CAD-47FA-8D75-CC38D32E3A62}">
            <xm:f>ISBLANK('(3) Variantenbewertung'!$L$11)=TRUE</xm:f>
            <x14:dxf>
              <font>
                <color theme="0" tint="-0.14996795556505021"/>
              </font>
              <fill>
                <patternFill>
                  <bgColor theme="0" tint="-0.14996795556505021"/>
                </patternFill>
              </fill>
              <border>
                <left/>
                <right/>
                <top/>
                <bottom/>
                <vertical/>
                <horizontal/>
              </border>
            </x14:dxf>
          </x14:cfRule>
          <xm:sqref>Q16</xm:sqref>
        </x14:conditionalFormatting>
        <x14:conditionalFormatting xmlns:xm="http://schemas.microsoft.com/office/excel/2006/main">
          <x14:cfRule type="expression" priority="68" id="{16531E01-7431-489C-9CB8-6A1EDC526339}">
            <xm:f>ISBLANK('(3) Variantenbewertung'!$I$11)=TRUE</xm:f>
            <x14:dxf>
              <font>
                <color theme="0" tint="-0.14996795556505021"/>
              </font>
              <fill>
                <patternFill>
                  <bgColor theme="0" tint="-0.14996795556505021"/>
                </patternFill>
              </fill>
              <border>
                <left/>
                <right/>
                <top/>
                <bottom/>
                <vertical/>
                <horizontal/>
              </border>
            </x14:dxf>
          </x14:cfRule>
          <xm:sqref>S11</xm:sqref>
        </x14:conditionalFormatting>
        <x14:conditionalFormatting xmlns:xm="http://schemas.microsoft.com/office/excel/2006/main">
          <x14:cfRule type="expression" priority="34" id="{639C67D7-2AD8-40D5-A008-47ACA047F56B}">
            <xm:f>ISBLANK('(3) Variantenbewertung'!$I$11)=TRUE</xm:f>
            <x14:dxf>
              <font>
                <color theme="0" tint="-0.14996795556505021"/>
              </font>
              <fill>
                <patternFill>
                  <bgColor theme="0" tint="-0.14996795556505021"/>
                </patternFill>
              </fill>
              <border>
                <left/>
                <right/>
                <top/>
                <bottom/>
                <vertical/>
                <horizontal/>
              </border>
            </x14:dxf>
          </x14:cfRule>
          <xm:sqref>S16</xm:sqref>
        </x14:conditionalFormatting>
        <x14:conditionalFormatting xmlns:xm="http://schemas.microsoft.com/office/excel/2006/main">
          <x14:cfRule type="expression" priority="97" id="{1B27D581-366E-4BBA-A3A2-3EC3F40BC262}">
            <xm:f>ISBLANK('(3) Variantenbewertung'!$R$11)=TRUE</xm:f>
            <x14:dxf>
              <font>
                <color theme="0" tint="-4.9989318521683403E-2"/>
              </font>
              <fill>
                <patternFill>
                  <bgColor theme="0" tint="-4.9989318521683403E-2"/>
                </patternFill>
              </fill>
              <border>
                <left/>
                <right/>
                <top/>
                <bottom/>
                <vertical/>
                <horizontal/>
              </border>
            </x14:dxf>
          </x14:cfRule>
          <xm:sqref>S30:T35 S41:T46 S52:T57 S63:T68 S74:T79 S85:T90 S108:T113 S119:T124 S129:T135 S141:T146 S165:T170 S176:T181 S199:T204 S210:T215 S221:T226 S231:T237 S242:T248 S254:T259</xm:sqref>
        </x14:conditionalFormatting>
        <x14:conditionalFormatting xmlns:xm="http://schemas.microsoft.com/office/excel/2006/main">
          <x14:cfRule type="expression" priority="139" id="{B8ED1341-545C-4476-AA08-85554201475A}">
            <xm:f>ISBLANK('(3) Variantenbewertung'!$R$11)=TRUE</xm:f>
            <x14:dxf>
              <font>
                <color theme="0" tint="-0.14996795556505021"/>
              </font>
              <fill>
                <patternFill>
                  <bgColor theme="0" tint="-0.14996795556505021"/>
                </patternFill>
              </fill>
              <border>
                <left/>
                <right/>
                <top/>
                <bottom/>
                <vertical/>
                <horizontal/>
              </border>
            </x14:dxf>
          </x14:cfRule>
          <xm:sqref>S96:T98 S9:T16 S152:T155 S187:T189 S265:T268</xm:sqref>
        </x14:conditionalFormatting>
        <x14:conditionalFormatting xmlns:xm="http://schemas.microsoft.com/office/excel/2006/main">
          <x14:cfRule type="expression" priority="8" id="{7C4ABE46-120B-45F7-AC62-9364F3D227C7}">
            <xm:f>ISBLANK('(3) Variantenbewertung'!$I$11)=TRUE</xm:f>
            <x14:dxf>
              <font>
                <color theme="0" tint="-0.14996795556505021"/>
              </font>
              <fill>
                <patternFill>
                  <bgColor theme="0" tint="-0.14996795556505021"/>
                </patternFill>
              </fill>
              <border>
                <left/>
                <right/>
                <top/>
                <bottom/>
                <vertical/>
                <horizontal/>
              </border>
            </x14:dxf>
          </x14:cfRule>
          <xm:sqref>S97:T98</xm:sqref>
        </x14:conditionalFormatting>
        <x14:conditionalFormatting xmlns:xm="http://schemas.microsoft.com/office/excel/2006/main">
          <x14:cfRule type="expression" priority="27" id="{E69D30FC-0867-46D8-8067-5DDBF0254CFC}">
            <xm:f>ISBLANK('(3) Variantenbewertung'!$L$11)=TRUE</xm:f>
            <x14:dxf>
              <font>
                <color theme="0" tint="-0.14996795556505021"/>
              </font>
              <fill>
                <patternFill>
                  <bgColor theme="0" tint="-0.14996795556505021"/>
                </patternFill>
              </fill>
              <border>
                <left/>
                <right/>
                <top/>
                <bottom/>
                <vertical/>
                <horizontal/>
              </border>
            </x14:dxf>
          </x14:cfRule>
          <xm:sqref>T16</xm:sqref>
        </x14:conditionalFormatting>
        <x14:conditionalFormatting xmlns:xm="http://schemas.microsoft.com/office/excel/2006/main">
          <x14:cfRule type="expression" priority="67" id="{EBAD652B-0948-4EA0-9608-17E63552841B}">
            <xm:f>ISBLANK('(3) Variantenbewertung'!$I$11)=TRUE</xm:f>
            <x14:dxf>
              <font>
                <color theme="0" tint="-0.14996795556505021"/>
              </font>
              <fill>
                <patternFill>
                  <bgColor theme="0" tint="-0.14996795556505021"/>
                </patternFill>
              </fill>
              <border>
                <left/>
                <right/>
                <top/>
                <bottom/>
                <vertical/>
                <horizontal/>
              </border>
            </x14:dxf>
          </x14:cfRule>
          <xm:sqref>V11</xm:sqref>
        </x14:conditionalFormatting>
        <x14:conditionalFormatting xmlns:xm="http://schemas.microsoft.com/office/excel/2006/main">
          <x14:cfRule type="expression" priority="23" id="{62F01385-B22E-4D00-9C85-D59D53798090}">
            <xm:f>ISBLANK('(3) Variantenbewertung'!$I$11)=TRUE</xm:f>
            <x14:dxf>
              <font>
                <color theme="0" tint="-0.14996795556505021"/>
              </font>
              <fill>
                <patternFill>
                  <bgColor theme="0" tint="-0.14996795556505021"/>
                </patternFill>
              </fill>
              <border>
                <left/>
                <right/>
                <top/>
                <bottom/>
                <vertical/>
                <horizontal/>
              </border>
            </x14:dxf>
          </x14:cfRule>
          <xm:sqref>V16</xm:sqref>
        </x14:conditionalFormatting>
        <x14:conditionalFormatting xmlns:xm="http://schemas.microsoft.com/office/excel/2006/main">
          <x14:cfRule type="expression" priority="96" id="{A0A41040-95E1-46D2-AD7A-576618ACA3DA}">
            <xm:f>ISBLANK('(3) Variantenbewertung'!$U$11)=TRUE</xm:f>
            <x14:dxf>
              <font>
                <color theme="0" tint="-4.9989318521683403E-2"/>
              </font>
              <fill>
                <patternFill>
                  <bgColor theme="0" tint="-4.9989318521683403E-2"/>
                </patternFill>
              </fill>
              <border>
                <left/>
                <right/>
                <top/>
                <bottom/>
                <vertical/>
                <horizontal/>
              </border>
            </x14:dxf>
          </x14:cfRule>
          <xm:sqref>V30:W35 V41:W46 V52:W57 V63:W68 V74:W79 V85:W90 V108:W113 V119:W124 V129:W135 V141:W146 V165:W170 V176:W181 V199:W204 V210:W215 V221:W226 V231:W237 V242:W248 V254:W259</xm:sqref>
        </x14:conditionalFormatting>
        <x14:conditionalFormatting xmlns:xm="http://schemas.microsoft.com/office/excel/2006/main">
          <x14:cfRule type="expression" priority="138" id="{83764CC4-458E-47A1-9337-F8EA7DC79256}">
            <xm:f>ISBLANK('(3) Variantenbewertung'!$U$11)=TRUE</xm:f>
            <x14:dxf>
              <font>
                <color theme="0" tint="-0.14996795556505021"/>
              </font>
              <fill>
                <patternFill>
                  <bgColor theme="0" tint="-0.14996795556505021"/>
                </patternFill>
              </fill>
              <border>
                <left/>
                <right/>
                <top/>
                <bottom/>
                <vertical/>
                <horizontal/>
              </border>
            </x14:dxf>
          </x14:cfRule>
          <xm:sqref>V96:W98 V9:W16 V152:W155 V187:W189 V265:W268</xm:sqref>
        </x14:conditionalFormatting>
        <x14:conditionalFormatting xmlns:xm="http://schemas.microsoft.com/office/excel/2006/main">
          <x14:cfRule type="expression" priority="4" id="{A7C2B286-5B31-479C-8202-27F164E887B1}">
            <xm:f>ISBLANK('(3) Variantenbewertung'!$I$11)=TRUE</xm:f>
            <x14:dxf>
              <font>
                <color theme="0" tint="-0.14996795556505021"/>
              </font>
              <fill>
                <patternFill>
                  <bgColor theme="0" tint="-0.14996795556505021"/>
                </patternFill>
              </fill>
              <border>
                <left/>
                <right/>
                <top/>
                <bottom/>
                <vertical/>
                <horizontal/>
              </border>
            </x14:dxf>
          </x14:cfRule>
          <xm:sqref>V97:W98</xm:sqref>
        </x14:conditionalFormatting>
        <x14:conditionalFormatting xmlns:xm="http://schemas.microsoft.com/office/excel/2006/main">
          <x14:cfRule type="expression" priority="16" id="{C0339841-0E71-4C20-9C7B-737419A8B227}">
            <xm:f>ISBLANK('(3) Variantenbewertung'!$L$11)=TRUE</xm:f>
            <x14:dxf>
              <font>
                <color theme="0" tint="-0.14996795556505021"/>
              </font>
              <fill>
                <patternFill>
                  <bgColor theme="0" tint="-0.14996795556505021"/>
                </patternFill>
              </fill>
              <border>
                <left/>
                <right/>
                <top/>
                <bottom/>
                <vertical/>
                <horizontal/>
              </border>
            </x14:dxf>
          </x14:cfRule>
          <xm:sqref>W16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E783-0991-41EC-B2FA-1F8A50092C5B}">
  <sheetPr codeName="Tabelle5">
    <tabColor rgb="FF598064"/>
  </sheetPr>
  <dimension ref="A1:X66"/>
  <sheetViews>
    <sheetView showZeros="0" defaultGridColor="0" colorId="9" zoomScaleNormal="100" workbookViewId="0">
      <pane xSplit="7" topLeftCell="H1" activePane="topRight" state="frozen"/>
      <selection pane="topRight"/>
    </sheetView>
  </sheetViews>
  <sheetFormatPr baseColWidth="10" defaultRowHeight="13.2" x14ac:dyDescent="0.25"/>
  <cols>
    <col min="1" max="4" width="3.6640625" customWidth="1"/>
    <col min="5" max="5" width="18.44140625" customWidth="1"/>
    <col min="6" max="6" width="34.109375" customWidth="1"/>
    <col min="7" max="8" width="12.21875" customWidth="1"/>
    <col min="9" max="9" width="5.109375" customWidth="1"/>
    <col min="10" max="11" width="14.6640625" customWidth="1"/>
    <col min="12" max="12" width="1.6640625" customWidth="1"/>
    <col min="13" max="14" width="14.6640625" customWidth="1"/>
    <col min="15" max="15" width="1.6640625" customWidth="1"/>
    <col min="16" max="17" width="14.6640625" customWidth="1"/>
    <col min="18" max="18" width="1.6640625" customWidth="1"/>
    <col min="19" max="20" width="14.6640625" customWidth="1"/>
    <col min="21" max="21" width="1.6640625" customWidth="1"/>
    <col min="22" max="23" width="14.6640625" customWidth="1"/>
    <col min="24" max="24" width="8.5546875" customWidth="1"/>
  </cols>
  <sheetData>
    <row r="1" spans="1:24" ht="21" x14ac:dyDescent="0.25">
      <c r="A1" s="44" t="s">
        <v>141</v>
      </c>
    </row>
    <row r="2" spans="1:24" ht="15" customHeight="1" x14ac:dyDescent="0.25"/>
    <row r="3" spans="1:24" ht="15" customHeight="1" x14ac:dyDescent="0.25">
      <c r="A3" s="238" t="s">
        <v>240</v>
      </c>
      <c r="B3" s="238"/>
      <c r="C3" s="238"/>
      <c r="D3" s="238"/>
    </row>
    <row r="4" spans="1:24" ht="15" customHeight="1" x14ac:dyDescent="0.25"/>
    <row r="5" spans="1:24" ht="15" customHeight="1" x14ac:dyDescent="0.25">
      <c r="A5" s="351" t="s">
        <v>56</v>
      </c>
      <c r="B5" s="351"/>
      <c r="C5" s="351"/>
      <c r="D5" s="351"/>
      <c r="E5" s="351"/>
      <c r="F5" s="351"/>
      <c r="G5" s="351"/>
      <c r="H5" s="351"/>
      <c r="I5" s="351"/>
      <c r="J5" s="351"/>
      <c r="K5" s="351"/>
      <c r="L5" s="351"/>
      <c r="M5" s="351"/>
      <c r="N5" s="351"/>
      <c r="O5" s="351"/>
      <c r="P5" s="351"/>
      <c r="Q5" s="351"/>
      <c r="R5" s="351"/>
      <c r="S5" s="351"/>
      <c r="T5" s="351"/>
      <c r="U5" s="351"/>
      <c r="V5" s="351"/>
      <c r="W5" s="351"/>
      <c r="X5" s="351"/>
    </row>
    <row r="6" spans="1:24" ht="15" customHeight="1" x14ac:dyDescent="0.25">
      <c r="A6" s="5"/>
      <c r="B6" s="5"/>
      <c r="C6" s="10"/>
      <c r="D6" s="10"/>
      <c r="E6" s="10"/>
      <c r="F6" s="10"/>
      <c r="G6" s="5"/>
      <c r="H6" s="5"/>
      <c r="I6" s="5"/>
      <c r="J6" s="1"/>
      <c r="K6" s="1"/>
      <c r="L6" s="1"/>
      <c r="M6" s="1"/>
      <c r="N6" s="1"/>
      <c r="O6" s="1"/>
      <c r="P6" s="1"/>
      <c r="Q6" s="1"/>
      <c r="R6" s="1"/>
      <c r="S6" s="1"/>
      <c r="T6" s="1"/>
      <c r="U6" s="1"/>
      <c r="V6" s="1"/>
      <c r="W6" s="1"/>
      <c r="X6" s="1"/>
    </row>
    <row r="7" spans="1:24" ht="15" customHeight="1" x14ac:dyDescent="0.25">
      <c r="A7" s="5"/>
      <c r="B7" s="5"/>
      <c r="C7" s="10"/>
      <c r="D7" s="10"/>
      <c r="E7" s="10"/>
      <c r="F7" s="10"/>
      <c r="G7" s="5"/>
      <c r="H7" s="5"/>
      <c r="I7" s="5"/>
      <c r="J7" s="1"/>
      <c r="K7" s="1"/>
      <c r="L7" s="1"/>
      <c r="M7" s="1"/>
      <c r="N7" s="1"/>
      <c r="O7" s="1"/>
      <c r="P7" s="1"/>
      <c r="Q7" s="1"/>
      <c r="R7" s="1"/>
      <c r="S7" s="1"/>
      <c r="T7" s="1"/>
      <c r="U7" s="1"/>
      <c r="V7" s="1"/>
      <c r="W7" s="1"/>
      <c r="X7" s="1"/>
    </row>
    <row r="8" spans="1:24" ht="15" customHeight="1" x14ac:dyDescent="0.25">
      <c r="A8" s="5"/>
      <c r="B8" s="5"/>
      <c r="C8" s="328" t="s">
        <v>399</v>
      </c>
      <c r="D8" s="328"/>
      <c r="E8" s="328"/>
      <c r="F8" s="328"/>
      <c r="G8" s="29"/>
      <c r="H8" s="29"/>
      <c r="I8" s="29"/>
      <c r="J8" s="34"/>
      <c r="K8" s="34"/>
      <c r="L8" s="34"/>
      <c r="M8" s="34"/>
      <c r="N8" s="34"/>
      <c r="O8" s="34"/>
      <c r="P8" s="34"/>
      <c r="Q8" s="34"/>
      <c r="R8" s="34"/>
      <c r="S8" s="34"/>
      <c r="T8" s="34"/>
      <c r="U8" s="34"/>
      <c r="V8" s="34"/>
      <c r="W8" s="34"/>
      <c r="X8" s="34"/>
    </row>
    <row r="9" spans="1:24" ht="15" customHeight="1" x14ac:dyDescent="0.25">
      <c r="A9" s="5"/>
      <c r="B9" s="5"/>
      <c r="C9" s="29"/>
      <c r="D9" s="29"/>
      <c r="E9" s="29"/>
      <c r="F9" s="29"/>
      <c r="G9" s="34"/>
      <c r="H9" s="34"/>
      <c r="I9" s="34"/>
      <c r="J9" s="316" t="str">
        <f>IF(ISBLANK('(3) Variantenbewertung'!$I$11),"",'(3) Variantenbewertung'!$I$11)</f>
        <v>V1</v>
      </c>
      <c r="K9" s="316"/>
      <c r="L9" s="34"/>
      <c r="M9" s="316" t="str">
        <f>IF(ISBLANK('(3) Variantenbewertung'!$L$11),"",'(3) Variantenbewertung'!$L$11)</f>
        <v>V2</v>
      </c>
      <c r="N9" s="316"/>
      <c r="O9" s="34"/>
      <c r="P9" s="316" t="str">
        <f>IF(ISBLANK('(3) Variantenbewertung'!$O$11),"",'(3) Variantenbewertung'!$O$11)</f>
        <v>V3</v>
      </c>
      <c r="Q9" s="316"/>
      <c r="R9" s="34"/>
      <c r="S9" s="316" t="str">
        <f>IF(ISBLANK('(3) Variantenbewertung'!$R$11),"",'(3) Variantenbewertung'!$R$11)</f>
        <v/>
      </c>
      <c r="T9" s="316"/>
      <c r="U9" s="34"/>
      <c r="V9" s="316" t="str">
        <f>IF(ISBLANK('(3) Variantenbewertung'!$U$11),"",'(3) Variantenbewertung'!$U$11)</f>
        <v/>
      </c>
      <c r="W9" s="316"/>
      <c r="X9" s="34"/>
    </row>
    <row r="10" spans="1:24" ht="15" customHeight="1" x14ac:dyDescent="0.25">
      <c r="A10" s="5"/>
      <c r="B10" s="5"/>
      <c r="C10" s="29"/>
      <c r="D10" s="29"/>
      <c r="E10" s="29"/>
      <c r="F10" s="29"/>
      <c r="G10" s="37" t="s">
        <v>33</v>
      </c>
      <c r="H10" s="34"/>
      <c r="I10" s="34"/>
      <c r="J10" s="142" t="s">
        <v>221</v>
      </c>
      <c r="K10" s="143" t="s">
        <v>222</v>
      </c>
      <c r="L10" s="144"/>
      <c r="M10" s="142" t="s">
        <v>221</v>
      </c>
      <c r="N10" s="143" t="s">
        <v>222</v>
      </c>
      <c r="O10" s="144"/>
      <c r="P10" s="142" t="s">
        <v>221</v>
      </c>
      <c r="Q10" s="143" t="s">
        <v>222</v>
      </c>
      <c r="R10" s="144"/>
      <c r="S10" s="142" t="s">
        <v>221</v>
      </c>
      <c r="T10" s="143" t="s">
        <v>222</v>
      </c>
      <c r="U10" s="144"/>
      <c r="V10" s="142" t="s">
        <v>221</v>
      </c>
      <c r="W10" s="143" t="s">
        <v>222</v>
      </c>
      <c r="X10" s="24"/>
    </row>
    <row r="11" spans="1:24" ht="15" customHeight="1" x14ac:dyDescent="0.25">
      <c r="A11" s="5"/>
      <c r="B11" s="5"/>
      <c r="C11" s="29"/>
      <c r="D11" s="29"/>
      <c r="E11" s="343" t="str">
        <f>'(3a) Funktionskriterien'!E11</f>
        <v>F1 Erreichbarkeit, Auffindbarkeit</v>
      </c>
      <c r="F11" s="343"/>
      <c r="G11" s="33">
        <f>'(3a) Funktionskriterien'!G11</f>
        <v>0.4</v>
      </c>
      <c r="H11" s="34"/>
      <c r="I11" s="34"/>
      <c r="J11" s="41">
        <f>'(3a) Funktionskriterien'!J11</f>
        <v>1</v>
      </c>
      <c r="K11" s="41">
        <f>'(3a) Funktionskriterien'!K11</f>
        <v>1</v>
      </c>
      <c r="L11" s="34"/>
      <c r="M11" s="41">
        <f>'(3a) Funktionskriterien'!N11</f>
        <v>3</v>
      </c>
      <c r="N11" s="41">
        <f>'(3a) Funktionskriterien'!O11</f>
        <v>1</v>
      </c>
      <c r="O11" s="34"/>
      <c r="P11" s="41">
        <f>'(3a) Funktionskriterien'!R11</f>
        <v>1</v>
      </c>
      <c r="Q11" s="41">
        <f>'(3a) Funktionskriterien'!S11</f>
        <v>1</v>
      </c>
      <c r="R11" s="34"/>
      <c r="S11" s="41" t="str">
        <f>'(3a) Funktionskriterien'!V11</f>
        <v>-</v>
      </c>
      <c r="T11" s="41" t="str">
        <f>'(3a) Funktionskriterien'!W11</f>
        <v>-</v>
      </c>
      <c r="U11" s="34"/>
      <c r="V11" s="41" t="str">
        <f>'(3a) Funktionskriterien'!Z11</f>
        <v>-</v>
      </c>
      <c r="W11" s="41" t="str">
        <f>'(3a) Funktionskriterien'!AA11</f>
        <v>-</v>
      </c>
      <c r="X11" s="34"/>
    </row>
    <row r="12" spans="1:24" ht="15" customHeight="1" x14ac:dyDescent="0.25">
      <c r="A12" s="5"/>
      <c r="B12" s="5"/>
      <c r="C12" s="29"/>
      <c r="D12" s="29"/>
      <c r="E12" s="343" t="str">
        <f>'(3a) Funktionskriterien'!E12</f>
        <v>F2 Dimensionierung (Passierbarkeit)</v>
      </c>
      <c r="F12" s="343"/>
      <c r="G12" s="33">
        <f>'(3a) Funktionskriterien'!G12</f>
        <v>0.2</v>
      </c>
      <c r="H12" s="34"/>
      <c r="I12" s="34"/>
      <c r="J12" s="41">
        <f>'(3a) Funktionskriterien'!J12</f>
        <v>1</v>
      </c>
      <c r="K12" s="41">
        <f>'(3a) Funktionskriterien'!K12</f>
        <v>3</v>
      </c>
      <c r="L12" s="34"/>
      <c r="M12" s="41">
        <f>'(3a) Funktionskriterien'!N12</f>
        <v>1</v>
      </c>
      <c r="N12" s="41">
        <f>'(3a) Funktionskriterien'!O12</f>
        <v>1</v>
      </c>
      <c r="O12" s="34"/>
      <c r="P12" s="41">
        <f>'(3a) Funktionskriterien'!R12</f>
        <v>1</v>
      </c>
      <c r="Q12" s="41">
        <f>'(3a) Funktionskriterien'!S12</f>
        <v>1</v>
      </c>
      <c r="R12" s="34"/>
      <c r="S12" s="41" t="str">
        <f>'(3a) Funktionskriterien'!V12</f>
        <v>-</v>
      </c>
      <c r="T12" s="41" t="str">
        <f>'(3a) Funktionskriterien'!W12</f>
        <v>-</v>
      </c>
      <c r="U12" s="34"/>
      <c r="V12" s="41" t="str">
        <f>'(3a) Funktionskriterien'!Z12</f>
        <v>-</v>
      </c>
      <c r="W12" s="41" t="str">
        <f>'(3a) Funktionskriterien'!AA12</f>
        <v>-</v>
      </c>
      <c r="X12" s="34"/>
    </row>
    <row r="13" spans="1:24" ht="15" customHeight="1" x14ac:dyDescent="0.25">
      <c r="A13" s="5"/>
      <c r="B13" s="5"/>
      <c r="C13" s="29"/>
      <c r="D13" s="29"/>
      <c r="E13" s="343" t="str">
        <f>'(3a) Funktionskriterien'!E13</f>
        <v>F3 Hydraulik (Passierbarkeit)</v>
      </c>
      <c r="F13" s="343"/>
      <c r="G13" s="33">
        <f>'(3a) Funktionskriterien'!G13</f>
        <v>0.3</v>
      </c>
      <c r="H13" s="34"/>
      <c r="I13" s="34"/>
      <c r="J13" s="41">
        <f>'(3a) Funktionskriterien'!J13</f>
        <v>3</v>
      </c>
      <c r="K13" s="41">
        <f>'(3a) Funktionskriterien'!K13</f>
        <v>3</v>
      </c>
      <c r="L13" s="34"/>
      <c r="M13" s="41">
        <f>'(3a) Funktionskriterien'!N13</f>
        <v>2</v>
      </c>
      <c r="N13" s="41">
        <f>'(3a) Funktionskriterien'!O13</f>
        <v>2</v>
      </c>
      <c r="O13" s="34"/>
      <c r="P13" s="41">
        <f>'(3a) Funktionskriterien'!R13</f>
        <v>2</v>
      </c>
      <c r="Q13" s="41">
        <f>'(3a) Funktionskriterien'!S13</f>
        <v>2</v>
      </c>
      <c r="R13" s="34"/>
      <c r="S13" s="41" t="str">
        <f>'(3a) Funktionskriterien'!V13</f>
        <v>-</v>
      </c>
      <c r="T13" s="41" t="str">
        <f>'(3a) Funktionskriterien'!W13</f>
        <v>-</v>
      </c>
      <c r="U13" s="34"/>
      <c r="V13" s="41" t="str">
        <f>'(3a) Funktionskriterien'!Z13</f>
        <v>-</v>
      </c>
      <c r="W13" s="41" t="str">
        <f>'(3a) Funktionskriterien'!AA13</f>
        <v>-</v>
      </c>
      <c r="X13" s="34"/>
    </row>
    <row r="14" spans="1:24" ht="15" customHeight="1" x14ac:dyDescent="0.25">
      <c r="A14" s="5"/>
      <c r="B14" s="5"/>
      <c r="C14" s="29"/>
      <c r="D14" s="29"/>
      <c r="E14" s="343" t="str">
        <f>'(3a) Funktionskriterien'!E14</f>
        <v>F4: Weiteres (Passierbarkeit)</v>
      </c>
      <c r="F14" s="343"/>
      <c r="G14" s="33">
        <f>'(3a) Funktionskriterien'!G14</f>
        <v>0.1</v>
      </c>
      <c r="H14" s="34"/>
      <c r="I14" s="34"/>
      <c r="J14" s="41">
        <f>'(3a) Funktionskriterien'!J14</f>
        <v>2</v>
      </c>
      <c r="K14" s="41">
        <f>'(3a) Funktionskriterien'!K14</f>
        <v>2</v>
      </c>
      <c r="L14" s="34"/>
      <c r="M14" s="41">
        <f>'(3a) Funktionskriterien'!N14</f>
        <v>2</v>
      </c>
      <c r="N14" s="41">
        <f>'(3a) Funktionskriterien'!O14</f>
        <v>2</v>
      </c>
      <c r="O14" s="34"/>
      <c r="P14" s="41">
        <f>'(3a) Funktionskriterien'!R14</f>
        <v>3</v>
      </c>
      <c r="Q14" s="41">
        <f>'(3a) Funktionskriterien'!S14</f>
        <v>3</v>
      </c>
      <c r="R14" s="34"/>
      <c r="S14" s="41" t="str">
        <f>'(3a) Funktionskriterien'!V14</f>
        <v>-</v>
      </c>
      <c r="T14" s="41" t="str">
        <f>'(3a) Funktionskriterien'!W14</f>
        <v>-</v>
      </c>
      <c r="U14" s="34"/>
      <c r="V14" s="41" t="str">
        <f>'(3a) Funktionskriterien'!Z14</f>
        <v>-</v>
      </c>
      <c r="W14" s="41" t="str">
        <f>'(3a) Funktionskriterien'!AA14</f>
        <v>-</v>
      </c>
      <c r="X14" s="34"/>
    </row>
    <row r="15" spans="1:24" ht="15" customHeight="1" x14ac:dyDescent="0.25">
      <c r="A15" s="5"/>
      <c r="B15" s="5"/>
      <c r="C15" s="29"/>
      <c r="D15" s="29"/>
      <c r="E15" s="29"/>
      <c r="F15" s="29"/>
      <c r="G15" s="34"/>
      <c r="H15" s="34"/>
      <c r="I15" s="34"/>
      <c r="J15" s="34"/>
      <c r="K15" s="34"/>
      <c r="L15" s="34"/>
      <c r="M15" s="34"/>
      <c r="N15" s="34"/>
      <c r="O15" s="34"/>
      <c r="P15" s="34"/>
      <c r="Q15" s="34"/>
      <c r="R15" s="34"/>
      <c r="S15" s="34"/>
      <c r="T15" s="34"/>
      <c r="U15" s="34"/>
      <c r="V15" s="34"/>
      <c r="W15" s="34"/>
      <c r="X15" s="34"/>
    </row>
    <row r="16" spans="1:24" ht="15" customHeight="1" x14ac:dyDescent="0.25">
      <c r="A16" s="5"/>
      <c r="B16" s="5"/>
      <c r="C16" s="29"/>
      <c r="D16" s="29"/>
      <c r="E16" s="29"/>
      <c r="F16" s="42" t="s">
        <v>35</v>
      </c>
      <c r="G16" s="33">
        <f>IF(SUM(G11:G14)=1,SUM(G11:G14),"FEHLER")</f>
        <v>1.0000000000000002</v>
      </c>
      <c r="H16" s="42"/>
      <c r="I16" s="42"/>
      <c r="J16" s="43">
        <f>IF(AND(COUNT(J11:J14)=4,ISNUMBER($G$16)),SUMPRODUCT($G$11:$G$14,J11:J14),"FEHLER")</f>
        <v>1.7</v>
      </c>
      <c r="K16" s="43">
        <f>IF(AND(COUNT(K11:K14)=4,ISNUMBER($G$16)),SUMPRODUCT($G$11:$G$14,K11:K14),"FEHLER")</f>
        <v>2.1</v>
      </c>
      <c r="L16" s="34"/>
      <c r="M16" s="43">
        <f>IF(AND(COUNT(M11:M14)=4,ISNUMBER($G$16)),SUMPRODUCT($G$11:$G$14,M11:M14),"FEHLER")</f>
        <v>2.2000000000000002</v>
      </c>
      <c r="N16" s="43">
        <f>IF(AND(COUNT(N11:N14)=4,ISNUMBER($G$16)),SUMPRODUCT($G$11:$G$14,N11:N14),"FEHLER")</f>
        <v>1.4000000000000001</v>
      </c>
      <c r="O16" s="34"/>
      <c r="P16" s="43">
        <f>IF(AND(COUNT(P11:P14)=4,ISNUMBER($G$16)),SUMPRODUCT($G$11:$G$14,P11:P14),"FEHLER")</f>
        <v>1.5000000000000002</v>
      </c>
      <c r="Q16" s="43">
        <f>IF(AND(COUNT(Q11:Q14)=4,ISNUMBER($G$16)),SUMPRODUCT($G$11:$G$14,Q11:Q14),"FEHLER")</f>
        <v>1.5000000000000002</v>
      </c>
      <c r="R16" s="34"/>
      <c r="S16" s="43" t="str">
        <f>IF(AND(COUNT(S11:S14)=4,ISNUMBER($G$16)),SUMPRODUCT($G$11:$G$14,S11:S14),"FEHLER")</f>
        <v>FEHLER</v>
      </c>
      <c r="T16" s="43" t="str">
        <f>IF(AND(COUNT(T11:T14)=4,ISNUMBER($G$16)),SUMPRODUCT($G$11:$G$14,T11:T14),"FEHLER")</f>
        <v>FEHLER</v>
      </c>
      <c r="U16" s="34"/>
      <c r="V16" s="43" t="str">
        <f>IF(AND(COUNT(V11:V14)=4,ISNUMBER($G$16)),SUMPRODUCT($G$11:$G$14,V11:V14),"FEHLER")</f>
        <v>FEHLER</v>
      </c>
      <c r="W16" s="43" t="str">
        <f>IF(AND(COUNT(W11:W14)=4,ISNUMBER($G$16)),SUMPRODUCT($G$11:$G$14,W11:W14),"FEHLER")</f>
        <v>FEHLER</v>
      </c>
      <c r="X16" s="42"/>
    </row>
    <row r="17" spans="1:24" ht="15" customHeight="1" x14ac:dyDescent="0.25">
      <c r="A17" s="5"/>
      <c r="B17" s="5"/>
      <c r="C17" s="29"/>
      <c r="D17" s="29"/>
      <c r="E17" s="29"/>
      <c r="F17" s="29"/>
      <c r="G17" s="29"/>
      <c r="H17" s="29"/>
      <c r="I17" s="29"/>
      <c r="J17" s="34"/>
      <c r="K17" s="34"/>
      <c r="L17" s="34"/>
      <c r="M17" s="34"/>
      <c r="N17" s="34"/>
      <c r="O17" s="34"/>
      <c r="P17" s="34"/>
      <c r="Q17" s="34"/>
      <c r="R17" s="34"/>
      <c r="S17" s="34"/>
      <c r="T17" s="34"/>
      <c r="U17" s="34"/>
      <c r="V17" s="34"/>
      <c r="W17" s="34"/>
      <c r="X17" s="34"/>
    </row>
    <row r="18" spans="1:24" ht="15" customHeight="1" x14ac:dyDescent="0.25"/>
    <row r="19" spans="1:24" ht="15" customHeight="1" x14ac:dyDescent="0.25"/>
    <row r="20" spans="1:24" ht="15" customHeight="1" x14ac:dyDescent="0.25">
      <c r="C20" s="328" t="s">
        <v>400</v>
      </c>
      <c r="D20" s="328"/>
      <c r="E20" s="328"/>
      <c r="F20" s="328"/>
      <c r="G20" s="29"/>
      <c r="H20" s="29"/>
      <c r="I20" s="29"/>
      <c r="J20" s="34"/>
      <c r="K20" s="34"/>
      <c r="L20" s="34"/>
      <c r="M20" s="34"/>
      <c r="N20" s="34"/>
      <c r="O20" s="34"/>
      <c r="P20" s="34"/>
      <c r="Q20" s="34"/>
      <c r="R20" s="34"/>
      <c r="S20" s="34"/>
      <c r="T20" s="34"/>
      <c r="U20" s="34"/>
      <c r="V20" s="34"/>
      <c r="W20" s="34"/>
      <c r="X20" s="34"/>
    </row>
    <row r="21" spans="1:24" ht="15" customHeight="1" x14ac:dyDescent="0.25">
      <c r="C21" s="29"/>
      <c r="D21" s="29"/>
      <c r="E21" s="29"/>
      <c r="F21" s="29"/>
      <c r="G21" s="34"/>
      <c r="H21" s="34"/>
      <c r="I21" s="34"/>
      <c r="J21" s="316" t="str">
        <f>IF(ISBLANK('(3) Variantenbewertung'!$I$11),"",'(3) Variantenbewertung'!$I$11)</f>
        <v>V1</v>
      </c>
      <c r="K21" s="316"/>
      <c r="L21" s="34"/>
      <c r="M21" s="316" t="str">
        <f>IF(ISBLANK('(3) Variantenbewertung'!$L$11),"",'(3) Variantenbewertung'!$L$11)</f>
        <v>V2</v>
      </c>
      <c r="N21" s="316"/>
      <c r="O21" s="34"/>
      <c r="P21" s="316" t="str">
        <f>IF(ISBLANK('(3) Variantenbewertung'!$O$11),"",'(3) Variantenbewertung'!$O$11)</f>
        <v>V3</v>
      </c>
      <c r="Q21" s="316"/>
      <c r="R21" s="34"/>
      <c r="S21" s="316" t="str">
        <f>IF(ISBLANK('(3) Variantenbewertung'!$R$11),"",'(3) Variantenbewertung'!$R$11)</f>
        <v/>
      </c>
      <c r="T21" s="316"/>
      <c r="U21" s="34"/>
      <c r="V21" s="316" t="str">
        <f>IF(ISBLANK('(3) Variantenbewertung'!$U$11),"",'(3) Variantenbewertung'!$U$11)</f>
        <v/>
      </c>
      <c r="W21" s="316"/>
      <c r="X21" s="34"/>
    </row>
    <row r="22" spans="1:24" ht="15" customHeight="1" x14ac:dyDescent="0.25">
      <c r="C22" s="29"/>
      <c r="D22" s="29"/>
      <c r="E22" s="29"/>
      <c r="F22" s="29"/>
      <c r="G22" s="37" t="s">
        <v>33</v>
      </c>
      <c r="H22" s="34"/>
      <c r="I22" s="34"/>
      <c r="J22" s="142" t="s">
        <v>221</v>
      </c>
      <c r="K22" s="143" t="s">
        <v>222</v>
      </c>
      <c r="L22" s="144"/>
      <c r="M22" s="142" t="s">
        <v>221</v>
      </c>
      <c r="N22" s="143" t="s">
        <v>222</v>
      </c>
      <c r="O22" s="144"/>
      <c r="P22" s="142" t="s">
        <v>221</v>
      </c>
      <c r="Q22" s="143" t="s">
        <v>222</v>
      </c>
      <c r="R22" s="144"/>
      <c r="S22" s="142" t="s">
        <v>221</v>
      </c>
      <c r="T22" s="143" t="s">
        <v>222</v>
      </c>
      <c r="U22" s="144"/>
      <c r="V22" s="142" t="s">
        <v>221</v>
      </c>
      <c r="W22" s="143" t="s">
        <v>222</v>
      </c>
      <c r="X22" s="24"/>
    </row>
    <row r="23" spans="1:24" ht="15" customHeight="1" x14ac:dyDescent="0.25">
      <c r="C23" s="29"/>
      <c r="D23" s="29"/>
      <c r="E23" s="343" t="str">
        <f>'(3b) Umfeldkriterien'!E11</f>
        <v>U1 Natur-, Heimat- und Landschaftsschutz</v>
      </c>
      <c r="F23" s="343"/>
      <c r="G23" s="33">
        <f>'(3b) Umfeldkriterien'!G11</f>
        <v>0.3</v>
      </c>
      <c r="H23" s="34"/>
      <c r="I23" s="34"/>
      <c r="J23" s="41">
        <f>'(3b) Umfeldkriterien'!J11</f>
        <v>3</v>
      </c>
      <c r="K23" s="41"/>
      <c r="L23" s="34"/>
      <c r="M23" s="41">
        <f>'(3b) Umfeldkriterien'!M11</f>
        <v>2</v>
      </c>
      <c r="N23" s="41"/>
      <c r="O23" s="34"/>
      <c r="P23" s="41">
        <f>'(3b) Umfeldkriterien'!P11</f>
        <v>2</v>
      </c>
      <c r="Q23" s="41"/>
      <c r="R23" s="34"/>
      <c r="S23" s="41" t="str">
        <f>'(3b) Umfeldkriterien'!S11</f>
        <v>-</v>
      </c>
      <c r="T23" s="41"/>
      <c r="U23" s="34"/>
      <c r="V23" s="41" t="str">
        <f>'(3b) Umfeldkriterien'!V11</f>
        <v>-</v>
      </c>
      <c r="W23" s="41"/>
      <c r="X23" s="34"/>
    </row>
    <row r="24" spans="1:24" ht="15" customHeight="1" x14ac:dyDescent="0.25">
      <c r="C24" s="29"/>
      <c r="D24" s="29"/>
      <c r="E24" s="343" t="str">
        <f>'(3b) Umfeldkriterien'!E12</f>
        <v>U2 Raumplanung / Umweltschutz / Nutzung</v>
      </c>
      <c r="F24" s="343"/>
      <c r="G24" s="33">
        <f>'(3b) Umfeldkriterien'!G12</f>
        <v>0.2</v>
      </c>
      <c r="H24" s="34"/>
      <c r="I24" s="34"/>
      <c r="J24" s="41">
        <f>'(3b) Umfeldkriterien'!J12</f>
        <v>2</v>
      </c>
      <c r="K24" s="41">
        <f>'(3b) Umfeldkriterien'!K12</f>
        <v>2</v>
      </c>
      <c r="L24" s="34"/>
      <c r="M24" s="41">
        <f>'(3b) Umfeldkriterien'!M12</f>
        <v>3</v>
      </c>
      <c r="N24" s="41">
        <f>'(3b) Umfeldkriterien'!N12</f>
        <v>3</v>
      </c>
      <c r="O24" s="34"/>
      <c r="P24" s="41">
        <f>'(3b) Umfeldkriterien'!P12</f>
        <v>2</v>
      </c>
      <c r="Q24" s="41">
        <f>'(3b) Umfeldkriterien'!Q12</f>
        <v>2</v>
      </c>
      <c r="R24" s="34"/>
      <c r="S24" s="41" t="str">
        <f>'(3b) Umfeldkriterien'!S12</f>
        <v>-</v>
      </c>
      <c r="T24" s="41" t="str">
        <f>'(3b) Umfeldkriterien'!T12</f>
        <v>-</v>
      </c>
      <c r="U24" s="34"/>
      <c r="V24" s="41" t="str">
        <f>'(3b) Umfeldkriterien'!V12</f>
        <v>-</v>
      </c>
      <c r="W24" s="41" t="str">
        <f>'(3b) Umfeldkriterien'!W12</f>
        <v>-</v>
      </c>
      <c r="X24" s="34"/>
    </row>
    <row r="25" spans="1:24" ht="15" customHeight="1" x14ac:dyDescent="0.25">
      <c r="C25" s="29"/>
      <c r="D25" s="29"/>
      <c r="E25" s="343" t="str">
        <f>'(3b) Umfeldkriterien'!E13</f>
        <v>U3 Koordinationsbedarf</v>
      </c>
      <c r="F25" s="343"/>
      <c r="G25" s="33">
        <f>'(3b) Umfeldkriterien'!G13</f>
        <v>0.1</v>
      </c>
      <c r="H25" s="34"/>
      <c r="I25" s="34"/>
      <c r="J25" s="41">
        <f>'(3b) Umfeldkriterien'!J13</f>
        <v>3</v>
      </c>
      <c r="K25" s="41"/>
      <c r="L25" s="34"/>
      <c r="M25" s="41">
        <f>'(3b) Umfeldkriterien'!M13</f>
        <v>3</v>
      </c>
      <c r="N25" s="41"/>
      <c r="O25" s="34"/>
      <c r="P25" s="41">
        <f>'(3b) Umfeldkriterien'!P13</f>
        <v>3</v>
      </c>
      <c r="Q25" s="41"/>
      <c r="R25" s="34"/>
      <c r="S25" s="41" t="str">
        <f>'(3b) Umfeldkriterien'!S13</f>
        <v>-</v>
      </c>
      <c r="T25" s="41"/>
      <c r="U25" s="34"/>
      <c r="V25" s="41" t="str">
        <f>'(3b) Umfeldkriterien'!V13</f>
        <v>-</v>
      </c>
      <c r="W25" s="41"/>
      <c r="X25" s="34"/>
    </row>
    <row r="26" spans="1:24" ht="15" customHeight="1" x14ac:dyDescent="0.25">
      <c r="C26" s="29"/>
      <c r="D26" s="29"/>
      <c r="E26" s="343" t="str">
        <f>'(3b) Umfeldkriterien'!E14</f>
        <v>U4 Ökologie und Nachhaltigkeit</v>
      </c>
      <c r="F26" s="343"/>
      <c r="G26" s="33">
        <f>'(3b) Umfeldkriterien'!G14</f>
        <v>0.4</v>
      </c>
      <c r="H26" s="34"/>
      <c r="I26" s="34"/>
      <c r="J26" s="41">
        <f>'(3b) Umfeldkriterien'!J14</f>
        <v>2</v>
      </c>
      <c r="K26" s="41">
        <f>'(3b) Umfeldkriterien'!K14</f>
        <v>2</v>
      </c>
      <c r="L26" s="34"/>
      <c r="M26" s="41">
        <f>'(3b) Umfeldkriterien'!M14</f>
        <v>2</v>
      </c>
      <c r="N26" s="41">
        <f>'(3b) Umfeldkriterien'!N14</f>
        <v>2</v>
      </c>
      <c r="O26" s="34"/>
      <c r="P26" s="41">
        <f>'(3b) Umfeldkriterien'!P14</f>
        <v>1</v>
      </c>
      <c r="Q26" s="41">
        <f>'(3b) Umfeldkriterien'!Q14</f>
        <v>3</v>
      </c>
      <c r="R26" s="34"/>
      <c r="S26" s="41" t="str">
        <f>'(3b) Umfeldkriterien'!S14</f>
        <v>-</v>
      </c>
      <c r="T26" s="41" t="str">
        <f>'(3b) Umfeldkriterien'!T14</f>
        <v>-</v>
      </c>
      <c r="U26" s="34"/>
      <c r="V26" s="41" t="str">
        <f>'(3b) Umfeldkriterien'!V14</f>
        <v>-</v>
      </c>
      <c r="W26" s="41" t="str">
        <f>'(3b) Umfeldkriterien'!W14</f>
        <v>-</v>
      </c>
      <c r="X26" s="34"/>
    </row>
    <row r="27" spans="1:24" ht="15" customHeight="1" x14ac:dyDescent="0.25">
      <c r="C27" s="29"/>
      <c r="D27" s="29"/>
      <c r="E27" s="29"/>
      <c r="F27" s="29"/>
      <c r="G27" s="34"/>
      <c r="H27" s="34"/>
      <c r="I27" s="34"/>
      <c r="J27" s="34"/>
      <c r="K27" s="34"/>
      <c r="L27" s="34"/>
      <c r="M27" s="34"/>
      <c r="N27" s="34"/>
      <c r="O27" s="34"/>
      <c r="P27" s="34"/>
      <c r="Q27" s="34"/>
      <c r="R27" s="34"/>
      <c r="S27" s="34"/>
      <c r="T27" s="34"/>
      <c r="U27" s="34"/>
      <c r="V27" s="34"/>
      <c r="W27" s="34"/>
      <c r="X27" s="34"/>
    </row>
    <row r="28" spans="1:24" ht="15" customHeight="1" x14ac:dyDescent="0.25">
      <c r="C28" s="29"/>
      <c r="D28" s="29"/>
      <c r="E28" s="29"/>
      <c r="F28" s="42" t="s">
        <v>35</v>
      </c>
      <c r="G28" s="33">
        <f>IF(SUM(G23:G26)=1,SUM(G23:G26),"FEHLER")</f>
        <v>1</v>
      </c>
      <c r="H28" s="42"/>
      <c r="I28" s="42"/>
      <c r="J28" s="173">
        <f>IF(AND(J23="-",COUNT(J24:J26)=3,ISNUMBER($G$28)),($G$24*J24+$G$25*J25+$G$26*J26)/SUM($G$24:$G$26),IF(AND(COUNT(J23:J26)=4,ISNUMBER($G$28)),SUMPRODUCT($G$23:$G$26,J23:J26),"FEHLER"))</f>
        <v>2.4</v>
      </c>
      <c r="K28" s="173">
        <f>IF(AND(J23="-",COUNT(K24:K26)=2,COUNT(J23:J26)=3,ISNUMBER($G$28)),(K24*$G$24+J25*$G$25+K26*$G$26)/SUM($G$24:$G$26),IF(AND(AND(COUNT(K23:K26)=2,COUNT(J23:J26)=4),ISNUMBER($G$28)),J23*$G$23+K24*$G$24+J25*$G$25+K26*$G$26,"FEHLER"))</f>
        <v>2.4</v>
      </c>
      <c r="L28" s="174"/>
      <c r="M28" s="173">
        <f>IF(AND(M23="-",COUNT(M24:M26)=3,ISNUMBER($G$28)),($G$24*M24+$G$25*M25+$G$26*M26)/SUM($G$24:$G$26),IF(AND(COUNT(M23:M26)=4,ISNUMBER($G$28)),SUMPRODUCT($G$23:$G$26,M23:M26),"FEHLER"))</f>
        <v>2.3000000000000003</v>
      </c>
      <c r="N28" s="173">
        <f>IF(AND(M23="-",COUNT(N24:N26)=2,COUNT(M23:M26)=3,ISNUMBER($G$28)),(N24*$G$24+M25*$G$25+N26*$G$26)/SUM($G$24:$G$26),IF(AND(AND(COUNT(N23:N26)=2,COUNT(M23:M26)=4),ISNUMBER($G$28)),M23*$G$23+N24*$G$24+M25*$G$25+N26*$G$26,"FEHLER"))</f>
        <v>2.3000000000000003</v>
      </c>
      <c r="O28" s="174"/>
      <c r="P28" s="173">
        <f>IF(AND(P23="-",COUNT(P24:P26)=3,ISNUMBER($G$28)),($G$24*P24+$G$25*P25+$G$26*P26)/SUM($G$24:$G$26),IF(AND(COUNT(P23:P26)=4,ISNUMBER($G$28)),SUMPRODUCT($G$23:$G$26,P23:P26),"FEHLER"))</f>
        <v>1.7000000000000002</v>
      </c>
      <c r="Q28" s="173">
        <f>IF(AND(P23="-",COUNT(Q24:Q26)=2,COUNT(P23:P26)=3,ISNUMBER($G$28)),(Q24*$G$24+P25*$G$25+Q26*$G$26)/SUM($G$24:$G$26),IF(AND(AND(COUNT(Q23:Q26)=2,COUNT(P23:P26)=4),ISNUMBER($G$28)),P23*$G$23+Q24*$G$24+P25*$G$25+Q26*$G$26,"FEHLER"))</f>
        <v>2.5</v>
      </c>
      <c r="R28" s="174"/>
      <c r="S28" s="173" t="str">
        <f>IF(AND(S23="-",COUNT(S24:S26)=3,ISNUMBER($G$28)),($G$24*S24+$G$25*S25+$G$26*S26)/SUM($G$24:$G$26),IF(AND(COUNT(S23:S26)=4,ISNUMBER($G$28)),SUMPRODUCT($G$23:$G$26,S23:S26),"FEHLER"))</f>
        <v>FEHLER</v>
      </c>
      <c r="T28" s="173" t="str">
        <f>IF(AND(S23="-",COUNT(T24:T26)=2,COUNT(S23:S26)=3,ISNUMBER($G$28)),(T24*$G$24+S25*$G$25+T26*$G$26)/SUM($G$24:$G$26),IF(AND(AND(COUNT(T23:T26)=2,COUNT(S23:S26)=4),ISNUMBER($G$28)),S23*$G$23+T24*$G$24+S25*$G$25+T26*$G$26,"FEHLER"))</f>
        <v>FEHLER</v>
      </c>
      <c r="U28" s="174"/>
      <c r="V28" s="173" t="str">
        <f>IF(AND(V23="-",COUNT(V24:V26)=3,ISNUMBER($G$28)),($G$24*V24+$G$25*V25+$G$26*V26)/SUM($G$24:$G$26),IF(AND(COUNT(V23:V26)=4,ISNUMBER($G$28)),SUMPRODUCT($G$23:$G$26,V23:V26),"FEHLER"))</f>
        <v>FEHLER</v>
      </c>
      <c r="W28" s="173" t="str">
        <f>IF(AND(V23="-",COUNT(W24:W26)=2,COUNT(V23:V26)=3,ISNUMBER($G$28)),(W24*$G$24+V25*$G$25+W26*$G$26)/SUM($G$24:$G$26),IF(AND(AND(COUNT(W23:W26)=2,COUNT(V23:V26)=4),ISNUMBER($G$28)),V23*$G$23+W24*$G$24+V25*$G$25+W26*$G$26,"FEHLER"))</f>
        <v>FEHLER</v>
      </c>
      <c r="X28" s="42"/>
    </row>
    <row r="29" spans="1:24" ht="15" customHeight="1" x14ac:dyDescent="0.25">
      <c r="C29" s="29"/>
      <c r="D29" s="29"/>
      <c r="E29" s="29"/>
      <c r="F29" s="29"/>
      <c r="G29" s="29"/>
      <c r="H29" s="29"/>
      <c r="I29" s="29"/>
      <c r="J29" s="34"/>
      <c r="K29" s="34"/>
      <c r="L29" s="34"/>
      <c r="M29" s="34"/>
      <c r="N29" s="34"/>
      <c r="O29" s="34"/>
      <c r="P29" s="34"/>
      <c r="Q29" s="34"/>
      <c r="R29" s="34"/>
      <c r="S29" s="34"/>
      <c r="T29" s="34"/>
      <c r="U29" s="34"/>
      <c r="V29" s="34"/>
      <c r="W29" s="34"/>
      <c r="X29" s="34"/>
    </row>
    <row r="30" spans="1:24" ht="15" customHeight="1" x14ac:dyDescent="0.25"/>
    <row r="31" spans="1:24" ht="15" customHeight="1" x14ac:dyDescent="0.25"/>
    <row r="32" spans="1:24" ht="15" customHeight="1" x14ac:dyDescent="0.25">
      <c r="C32" s="328" t="s">
        <v>57</v>
      </c>
      <c r="D32" s="328"/>
      <c r="E32" s="328"/>
      <c r="F32" s="328"/>
      <c r="G32" s="29"/>
      <c r="H32" s="29"/>
      <c r="I32" s="29"/>
      <c r="J32" s="34"/>
      <c r="K32" s="34"/>
      <c r="L32" s="34"/>
      <c r="M32" s="34"/>
      <c r="N32" s="34"/>
      <c r="O32" s="34"/>
      <c r="P32" s="34"/>
      <c r="Q32" s="34"/>
      <c r="R32" s="34"/>
      <c r="S32" s="34"/>
      <c r="T32" s="34"/>
      <c r="U32" s="34"/>
      <c r="V32" s="34"/>
      <c r="W32" s="34"/>
      <c r="X32" s="34"/>
    </row>
    <row r="33" spans="1:24" ht="15" customHeight="1" x14ac:dyDescent="0.25">
      <c r="C33" s="21"/>
      <c r="D33" s="21"/>
      <c r="E33" s="21"/>
      <c r="F33" s="21"/>
      <c r="G33" s="29"/>
      <c r="H33" s="29"/>
      <c r="I33" s="29"/>
      <c r="J33" s="316" t="str">
        <f>IF(ISBLANK('(3) Variantenbewertung'!$I$11),"",'(3) Variantenbewertung'!$I$11)</f>
        <v>V1</v>
      </c>
      <c r="K33" s="316"/>
      <c r="L33" s="34"/>
      <c r="M33" s="316" t="str">
        <f>IF(ISBLANK('(3) Variantenbewertung'!$L$11),"",'(3) Variantenbewertung'!$L$11)</f>
        <v>V2</v>
      </c>
      <c r="N33" s="316"/>
      <c r="O33" s="34"/>
      <c r="P33" s="316" t="str">
        <f>IF(ISBLANK('(3) Variantenbewertung'!$O$11),"",'(3) Variantenbewertung'!$O$11)</f>
        <v>V3</v>
      </c>
      <c r="Q33" s="316"/>
      <c r="R33" s="34"/>
      <c r="S33" s="316" t="str">
        <f>IF(ISBLANK('(3) Variantenbewertung'!$R$11),"",'(3) Variantenbewertung'!$R$11)</f>
        <v/>
      </c>
      <c r="T33" s="316"/>
      <c r="U33" s="34"/>
      <c r="V33" s="316" t="str">
        <f>IF(ISBLANK('(3) Variantenbewertung'!$U$11),"",'(3) Variantenbewertung'!$U$11)</f>
        <v/>
      </c>
      <c r="W33" s="316"/>
      <c r="X33" s="34"/>
    </row>
    <row r="34" spans="1:24" ht="15" customHeight="1" x14ac:dyDescent="0.25">
      <c r="C34" s="21"/>
      <c r="D34" s="21"/>
      <c r="E34" s="29"/>
      <c r="F34" s="29"/>
      <c r="G34" s="37" t="s">
        <v>33</v>
      </c>
      <c r="H34" s="15" t="s">
        <v>499</v>
      </c>
      <c r="I34" s="29"/>
      <c r="J34" s="142" t="s">
        <v>221</v>
      </c>
      <c r="K34" s="143" t="s">
        <v>222</v>
      </c>
      <c r="L34" s="144"/>
      <c r="M34" s="142" t="s">
        <v>221</v>
      </c>
      <c r="N34" s="143" t="s">
        <v>222</v>
      </c>
      <c r="O34" s="144"/>
      <c r="P34" s="142" t="s">
        <v>221</v>
      </c>
      <c r="Q34" s="143" t="s">
        <v>222</v>
      </c>
      <c r="R34" s="144"/>
      <c r="S34" s="142" t="s">
        <v>221</v>
      </c>
      <c r="T34" s="143" t="s">
        <v>222</v>
      </c>
      <c r="U34" s="144"/>
      <c r="V34" s="142" t="s">
        <v>221</v>
      </c>
      <c r="W34" s="143" t="s">
        <v>222</v>
      </c>
      <c r="X34" s="24"/>
    </row>
    <row r="35" spans="1:24" ht="15" customHeight="1" x14ac:dyDescent="0.25">
      <c r="C35" s="21"/>
      <c r="D35" s="21"/>
      <c r="E35" s="343" t="s">
        <v>401</v>
      </c>
      <c r="F35" s="343"/>
      <c r="G35" s="209">
        <v>0.7</v>
      </c>
      <c r="H35" s="15">
        <v>0.7</v>
      </c>
      <c r="I35" s="29"/>
      <c r="J35" s="175">
        <f>J16</f>
        <v>1.7</v>
      </c>
      <c r="K35" s="175">
        <f>K16</f>
        <v>2.1</v>
      </c>
      <c r="L35" s="174">
        <f t="shared" ref="L35:X35" si="0">L16</f>
        <v>0</v>
      </c>
      <c r="M35" s="175">
        <f t="shared" si="0"/>
        <v>2.2000000000000002</v>
      </c>
      <c r="N35" s="175">
        <f>N16</f>
        <v>1.4000000000000001</v>
      </c>
      <c r="O35" s="174">
        <f t="shared" si="0"/>
        <v>0</v>
      </c>
      <c r="P35" s="175">
        <f t="shared" si="0"/>
        <v>1.5000000000000002</v>
      </c>
      <c r="Q35" s="175">
        <f>Q16</f>
        <v>1.5000000000000002</v>
      </c>
      <c r="R35" s="174">
        <f t="shared" si="0"/>
        <v>0</v>
      </c>
      <c r="S35" s="175" t="str">
        <f t="shared" si="0"/>
        <v>FEHLER</v>
      </c>
      <c r="T35" s="175" t="str">
        <f>T16</f>
        <v>FEHLER</v>
      </c>
      <c r="U35" s="174">
        <f t="shared" si="0"/>
        <v>0</v>
      </c>
      <c r="V35" s="175" t="str">
        <f t="shared" si="0"/>
        <v>FEHLER</v>
      </c>
      <c r="W35" s="175" t="str">
        <f>W16</f>
        <v>FEHLER</v>
      </c>
      <c r="X35" s="34">
        <f t="shared" si="0"/>
        <v>0</v>
      </c>
    </row>
    <row r="36" spans="1:24" ht="15" customHeight="1" x14ac:dyDescent="0.25">
      <c r="C36" s="21"/>
      <c r="D36" s="21"/>
      <c r="E36" s="343" t="s">
        <v>402</v>
      </c>
      <c r="F36" s="343"/>
      <c r="G36" s="209">
        <v>0.3</v>
      </c>
      <c r="H36" s="15">
        <v>0.3</v>
      </c>
      <c r="I36" s="29"/>
      <c r="J36" s="175">
        <f>J28</f>
        <v>2.4</v>
      </c>
      <c r="K36" s="175">
        <f>K28</f>
        <v>2.4</v>
      </c>
      <c r="L36" s="174">
        <f t="shared" ref="L36:X36" si="1">L28</f>
        <v>0</v>
      </c>
      <c r="M36" s="175">
        <f t="shared" si="1"/>
        <v>2.3000000000000003</v>
      </c>
      <c r="N36" s="175">
        <f>N28</f>
        <v>2.3000000000000003</v>
      </c>
      <c r="O36" s="174">
        <f t="shared" si="1"/>
        <v>0</v>
      </c>
      <c r="P36" s="175">
        <f t="shared" si="1"/>
        <v>1.7000000000000002</v>
      </c>
      <c r="Q36" s="175">
        <f>Q28</f>
        <v>2.5</v>
      </c>
      <c r="R36" s="174">
        <f t="shared" si="1"/>
        <v>0</v>
      </c>
      <c r="S36" s="175" t="str">
        <f t="shared" si="1"/>
        <v>FEHLER</v>
      </c>
      <c r="T36" s="175" t="str">
        <f>T28</f>
        <v>FEHLER</v>
      </c>
      <c r="U36" s="174">
        <f t="shared" si="1"/>
        <v>0</v>
      </c>
      <c r="V36" s="175" t="str">
        <f t="shared" si="1"/>
        <v>FEHLER</v>
      </c>
      <c r="W36" s="175" t="str">
        <f>W28</f>
        <v>FEHLER</v>
      </c>
      <c r="X36" s="34">
        <f t="shared" si="1"/>
        <v>0</v>
      </c>
    </row>
    <row r="37" spans="1:24" ht="15" customHeight="1" x14ac:dyDescent="0.25">
      <c r="C37" s="21"/>
      <c r="D37" s="21"/>
      <c r="E37" s="21"/>
      <c r="F37" s="21"/>
      <c r="G37" s="29"/>
      <c r="H37" s="29"/>
      <c r="I37" s="29"/>
      <c r="J37" s="174"/>
      <c r="K37" s="174"/>
      <c r="L37" s="174"/>
      <c r="M37" s="174"/>
      <c r="N37" s="174"/>
      <c r="O37" s="174"/>
      <c r="P37" s="174"/>
      <c r="Q37" s="174"/>
      <c r="R37" s="174"/>
      <c r="S37" s="174"/>
      <c r="T37" s="174"/>
      <c r="U37" s="174"/>
      <c r="V37" s="174"/>
      <c r="W37" s="174"/>
      <c r="X37" s="34"/>
    </row>
    <row r="38" spans="1:24" ht="15" customHeight="1" x14ac:dyDescent="0.25">
      <c r="C38" s="29"/>
      <c r="D38" s="29"/>
      <c r="E38" s="29"/>
      <c r="F38" s="42" t="s">
        <v>35</v>
      </c>
      <c r="G38" s="33">
        <f>IF(SUM(G35:G36)=1,SUM(G35:G36),"FEHLER")</f>
        <v>1</v>
      </c>
      <c r="H38" s="29"/>
      <c r="I38" s="42"/>
      <c r="J38" s="173">
        <f>IF(AND(COUNT(J35:J36)=2,ISNUMBER($G$38)),SUMPRODUCT($G$35:$G$36,J35:J36),"FEHLER")</f>
        <v>1.91</v>
      </c>
      <c r="K38" s="173">
        <f>IF(AND(COUNT(K35:K36)=2,ISNUMBER($G$38)),SUMPRODUCT($G$35:$G$36,K35:K36),"FEHLER")</f>
        <v>2.19</v>
      </c>
      <c r="L38" s="174"/>
      <c r="M38" s="173">
        <f>IF(AND(COUNT(M35:M36)=2,ISNUMBER($G$38)),SUMPRODUCT($G$35:$G$36,M35:M36),"FEHLER")</f>
        <v>2.23</v>
      </c>
      <c r="N38" s="173">
        <f>IF(AND(COUNT(N35:N36)=2,ISNUMBER($G$38)),SUMPRODUCT($G$35:$G$36,N35:N36),"FEHLER")</f>
        <v>1.67</v>
      </c>
      <c r="O38" s="174"/>
      <c r="P38" s="173">
        <f>IF(AND(COUNT(P35:P36)=2,ISNUMBER($G$38)),SUMPRODUCT($G$35:$G$36,P35:P36),"FEHLER")</f>
        <v>1.56</v>
      </c>
      <c r="Q38" s="173">
        <f>IF(AND(COUNT(Q35:Q36)=2,ISNUMBER($G$38)),SUMPRODUCT($G$35:$G$36,Q35:Q36),"FEHLER")</f>
        <v>1.8</v>
      </c>
      <c r="R38" s="174"/>
      <c r="S38" s="173" t="str">
        <f>IF(AND(COUNT(S35:S36)=2,ISNUMBER($G$38)),SUMPRODUCT($G$35:$G$36,S35:S36),"FEHLER")</f>
        <v>FEHLER</v>
      </c>
      <c r="T38" s="173" t="str">
        <f>IF(AND(COUNT(T35:T36)=2,ISNUMBER($G$38)),SUMPRODUCT($G$35:$G$36,T35:T36),"FEHLER")</f>
        <v>FEHLER</v>
      </c>
      <c r="U38" s="174"/>
      <c r="V38" s="173" t="str">
        <f>IF(AND(COUNT(V35:V36)=2,ISNUMBER($G$38)),SUMPRODUCT($G$35:$G$36,V35:V36),"FEHLER")</f>
        <v>FEHLER</v>
      </c>
      <c r="W38" s="173" t="str">
        <f>IF(AND(COUNT(W35:W36)=2,ISNUMBER($G$38)),SUMPRODUCT($G$35:$G$36,W35:W36),"FEHLER")</f>
        <v>FEHLER</v>
      </c>
      <c r="X38" s="42"/>
    </row>
    <row r="39" spans="1:24" ht="15" customHeight="1" x14ac:dyDescent="0.25">
      <c r="C39" s="29"/>
      <c r="D39" s="29"/>
      <c r="E39" s="29"/>
      <c r="F39" s="29"/>
      <c r="G39" s="29"/>
      <c r="H39" s="29"/>
      <c r="I39" s="29"/>
      <c r="J39" s="146">
        <f>IF(ISBLANK('(3) Variantenbewertung'!I11),-0.1,J38)</f>
        <v>1.91</v>
      </c>
      <c r="K39" s="146">
        <f>IF(ISBLANK('(3) Variantenbewertung'!I11),-0.1,K38)</f>
        <v>2.19</v>
      </c>
      <c r="L39" s="146"/>
      <c r="M39" s="146">
        <f>IF(ISBLANK('(3) Variantenbewertung'!L11),-0.1,M38)</f>
        <v>2.23</v>
      </c>
      <c r="N39" s="146">
        <f>IF(ISBLANK('(3) Variantenbewertung'!L11),-0.1,N38)</f>
        <v>1.67</v>
      </c>
      <c r="O39" s="146"/>
      <c r="P39" s="146">
        <f>IF(ISBLANK('(3) Variantenbewertung'!O11),-0.1,P38)</f>
        <v>1.56</v>
      </c>
      <c r="Q39" s="146">
        <f>IF(ISBLANK('(3) Variantenbewertung'!O11),-0.1,Q38)</f>
        <v>1.8</v>
      </c>
      <c r="R39" s="146"/>
      <c r="S39" s="146">
        <f>IF(ISBLANK('(3) Variantenbewertung'!R11),-0.1,S38)</f>
        <v>-0.1</v>
      </c>
      <c r="T39" s="146">
        <f>IF(ISBLANK('(3) Variantenbewertung'!R11),-0.1,T38)</f>
        <v>-0.1</v>
      </c>
      <c r="U39" s="146"/>
      <c r="V39" s="146">
        <f>IF(ISBLANK('(3) Variantenbewertung'!U11),-0.1,V38)</f>
        <v>-0.1</v>
      </c>
      <c r="W39" s="146">
        <f>IF(ISBLANK('(3) Variantenbewertung'!U11),-0.1,W38)</f>
        <v>-0.1</v>
      </c>
      <c r="X39" s="34"/>
    </row>
    <row r="40" spans="1:24" ht="15" customHeight="1" x14ac:dyDescent="0.25"/>
    <row r="41" spans="1:24" ht="15" customHeight="1" x14ac:dyDescent="0.25"/>
    <row r="42" spans="1:24" ht="15" customHeight="1" x14ac:dyDescent="0.25"/>
    <row r="43" spans="1:24" ht="15" customHeight="1" x14ac:dyDescent="0.25">
      <c r="A43" s="351" t="s">
        <v>58</v>
      </c>
      <c r="B43" s="351"/>
      <c r="C43" s="351"/>
      <c r="D43" s="351"/>
      <c r="E43" s="351"/>
      <c r="F43" s="351"/>
      <c r="G43" s="351"/>
      <c r="H43" s="351"/>
      <c r="I43" s="351"/>
      <c r="J43" s="351"/>
      <c r="K43" s="351"/>
      <c r="L43" s="351"/>
      <c r="M43" s="351"/>
      <c r="N43" s="351"/>
      <c r="O43" s="351"/>
      <c r="P43" s="351"/>
      <c r="Q43" s="351"/>
      <c r="R43" s="351"/>
      <c r="S43" s="351"/>
      <c r="T43" s="351"/>
      <c r="U43" s="351"/>
      <c r="V43" s="351"/>
      <c r="W43" s="351"/>
      <c r="X43" s="351"/>
    </row>
    <row r="44" spans="1:24" ht="15" customHeight="1" x14ac:dyDescent="0.25"/>
    <row r="45" spans="1:24" ht="15" customHeight="1" x14ac:dyDescent="0.25">
      <c r="B45" s="153" t="s">
        <v>241</v>
      </c>
    </row>
    <row r="46" spans="1:24" ht="15" customHeight="1" x14ac:dyDescent="0.25"/>
    <row r="47" spans="1:24" ht="15" customHeight="1" x14ac:dyDescent="0.25">
      <c r="C47" s="328" t="s">
        <v>180</v>
      </c>
      <c r="D47" s="328"/>
      <c r="E47" s="328"/>
      <c r="F47" s="328"/>
      <c r="G47" s="29"/>
      <c r="H47" s="29"/>
      <c r="I47" s="29"/>
      <c r="J47" s="34"/>
      <c r="K47" s="34"/>
      <c r="L47" s="34"/>
      <c r="M47" s="34"/>
      <c r="N47" s="34"/>
      <c r="O47" s="34"/>
      <c r="P47" s="34"/>
      <c r="Q47" s="34"/>
      <c r="R47" s="34"/>
      <c r="S47" s="34"/>
      <c r="T47" s="34"/>
      <c r="U47" s="34"/>
      <c r="V47" s="34"/>
      <c r="W47" s="34"/>
      <c r="X47" s="34"/>
    </row>
    <row r="48" spans="1:24" ht="15" customHeight="1" x14ac:dyDescent="0.25">
      <c r="C48" s="29"/>
      <c r="D48" s="29"/>
      <c r="E48" s="29"/>
      <c r="F48" s="29"/>
      <c r="G48" s="61"/>
      <c r="H48" s="61"/>
      <c r="I48" s="34"/>
      <c r="J48" s="316" t="str">
        <f>IF(ISBLANK('(3) Variantenbewertung'!$I$11),"",'(3) Variantenbewertung'!$I$11)</f>
        <v>V1</v>
      </c>
      <c r="K48" s="316"/>
      <c r="L48" s="24"/>
      <c r="M48" s="316" t="str">
        <f>IF(ISBLANK('(3) Variantenbewertung'!$L$11),"",'(3) Variantenbewertung'!$L$11)</f>
        <v>V2</v>
      </c>
      <c r="N48" s="316"/>
      <c r="O48" s="24"/>
      <c r="P48" s="316" t="str">
        <f>IF(ISBLANK('(3) Variantenbewertung'!$O$11),"",'(3) Variantenbewertung'!$O$11)</f>
        <v>V3</v>
      </c>
      <c r="Q48" s="316"/>
      <c r="R48" s="24"/>
      <c r="S48" s="316" t="str">
        <f>IF(ISBLANK('(3) Variantenbewertung'!$R$11),"",'(3) Variantenbewertung'!$R$11)</f>
        <v/>
      </c>
      <c r="T48" s="316"/>
      <c r="U48" s="24"/>
      <c r="V48" s="316" t="str">
        <f>IF(ISBLANK('(3) Variantenbewertung'!$U$11),"",'(3) Variantenbewertung'!$U$11)</f>
        <v/>
      </c>
      <c r="W48" s="316"/>
      <c r="X48" s="24"/>
    </row>
    <row r="49" spans="1:24" ht="15" customHeight="1" x14ac:dyDescent="0.25">
      <c r="C49" s="29"/>
      <c r="D49" s="29"/>
      <c r="E49" s="29"/>
      <c r="F49" s="29"/>
      <c r="G49" s="61"/>
      <c r="H49" s="61"/>
      <c r="I49" s="34"/>
      <c r="J49" s="355" t="s">
        <v>59</v>
      </c>
      <c r="K49" s="355"/>
      <c r="L49" s="24"/>
      <c r="M49" s="355" t="s">
        <v>59</v>
      </c>
      <c r="N49" s="355"/>
      <c r="O49" s="24"/>
      <c r="P49" s="355" t="s">
        <v>59</v>
      </c>
      <c r="Q49" s="355"/>
      <c r="R49" s="24"/>
      <c r="S49" s="355" t="s">
        <v>59</v>
      </c>
      <c r="T49" s="355"/>
      <c r="U49" s="24"/>
      <c r="V49" s="355" t="s">
        <v>59</v>
      </c>
      <c r="W49" s="355"/>
      <c r="X49" s="24"/>
    </row>
    <row r="50" spans="1:24" ht="15" customHeight="1" x14ac:dyDescent="0.25">
      <c r="C50" s="29"/>
      <c r="D50" s="29"/>
      <c r="E50" s="258" t="s">
        <v>60</v>
      </c>
      <c r="F50" s="258"/>
      <c r="G50" s="34"/>
      <c r="H50" s="34"/>
      <c r="I50" s="42"/>
      <c r="J50" s="354">
        <v>1000000</v>
      </c>
      <c r="K50" s="354"/>
      <c r="L50" s="34"/>
      <c r="M50" s="354">
        <v>2000000</v>
      </c>
      <c r="N50" s="354"/>
      <c r="O50" s="34"/>
      <c r="P50" s="354">
        <v>1500000</v>
      </c>
      <c r="Q50" s="354"/>
      <c r="R50" s="34"/>
      <c r="S50" s="354"/>
      <c r="T50" s="354"/>
      <c r="U50" s="34"/>
      <c r="V50" s="354"/>
      <c r="W50" s="354"/>
      <c r="X50" s="42"/>
    </row>
    <row r="51" spans="1:24" ht="15" customHeight="1" x14ac:dyDescent="0.25">
      <c r="C51" s="29"/>
      <c r="D51" s="29"/>
      <c r="E51" s="258" t="s">
        <v>61</v>
      </c>
      <c r="F51" s="258"/>
      <c r="G51" s="34"/>
      <c r="H51" s="34"/>
      <c r="I51" s="42"/>
      <c r="J51" s="354">
        <v>150000</v>
      </c>
      <c r="K51" s="354"/>
      <c r="L51" s="34"/>
      <c r="M51" s="354"/>
      <c r="N51" s="354"/>
      <c r="O51" s="34"/>
      <c r="P51" s="354"/>
      <c r="Q51" s="354"/>
      <c r="R51" s="34"/>
      <c r="S51" s="354"/>
      <c r="T51" s="354"/>
      <c r="U51" s="34"/>
      <c r="V51" s="354"/>
      <c r="W51" s="354"/>
      <c r="X51" s="42"/>
    </row>
    <row r="52" spans="1:24" ht="15" customHeight="1" x14ac:dyDescent="0.25">
      <c r="C52" s="29"/>
      <c r="D52" s="29"/>
      <c r="E52" s="229" t="s">
        <v>64</v>
      </c>
      <c r="F52" s="231"/>
      <c r="G52" s="34"/>
      <c r="H52" s="34"/>
      <c r="I52" s="42"/>
      <c r="J52" s="354"/>
      <c r="K52" s="354"/>
      <c r="L52" s="34"/>
      <c r="M52" s="354"/>
      <c r="N52" s="354"/>
      <c r="O52" s="34"/>
      <c r="P52" s="354"/>
      <c r="Q52" s="354"/>
      <c r="R52" s="34"/>
      <c r="S52" s="354"/>
      <c r="T52" s="354"/>
      <c r="U52" s="34"/>
      <c r="V52" s="354"/>
      <c r="W52" s="354"/>
      <c r="X52" s="42"/>
    </row>
    <row r="53" spans="1:24" ht="15" customHeight="1" x14ac:dyDescent="0.25">
      <c r="C53" s="29"/>
      <c r="D53" s="29"/>
      <c r="E53" s="258" t="s">
        <v>63</v>
      </c>
      <c r="F53" s="258"/>
      <c r="G53" s="34"/>
      <c r="H53" s="34"/>
      <c r="I53" s="42"/>
      <c r="J53" s="354"/>
      <c r="K53" s="354"/>
      <c r="L53" s="34"/>
      <c r="M53" s="354"/>
      <c r="N53" s="354"/>
      <c r="O53" s="34"/>
      <c r="P53" s="354"/>
      <c r="Q53" s="354"/>
      <c r="R53" s="34"/>
      <c r="S53" s="354"/>
      <c r="T53" s="354"/>
      <c r="U53" s="34"/>
      <c r="V53" s="354"/>
      <c r="W53" s="354"/>
      <c r="X53" s="42"/>
    </row>
    <row r="54" spans="1:24" ht="15" customHeight="1" x14ac:dyDescent="0.25">
      <c r="C54" s="29"/>
      <c r="D54" s="29"/>
      <c r="E54" s="258" t="s">
        <v>62</v>
      </c>
      <c r="F54" s="258"/>
      <c r="G54" s="34"/>
      <c r="H54" s="34"/>
      <c r="I54" s="42"/>
      <c r="J54" s="354">
        <v>50000</v>
      </c>
      <c r="K54" s="354"/>
      <c r="L54" s="34"/>
      <c r="M54" s="354" t="s">
        <v>533</v>
      </c>
      <c r="N54" s="354"/>
      <c r="O54" s="34"/>
      <c r="P54" s="354" t="s">
        <v>533</v>
      </c>
      <c r="Q54" s="354"/>
      <c r="R54" s="34"/>
      <c r="S54" s="354"/>
      <c r="T54" s="354"/>
      <c r="U54" s="34"/>
      <c r="V54" s="354"/>
      <c r="W54" s="354"/>
      <c r="X54" s="42"/>
    </row>
    <row r="55" spans="1:24" ht="15" customHeight="1" x14ac:dyDescent="0.25">
      <c r="C55" s="29"/>
      <c r="D55" s="29"/>
      <c r="E55" s="29"/>
      <c r="F55" s="42"/>
      <c r="G55" s="34"/>
      <c r="H55" s="34"/>
      <c r="I55" s="42"/>
      <c r="J55" s="353"/>
      <c r="K55" s="353"/>
      <c r="L55" s="34"/>
      <c r="M55" s="62"/>
      <c r="N55" s="62"/>
      <c r="O55" s="34"/>
      <c r="P55" s="62"/>
      <c r="Q55" s="62"/>
      <c r="R55" s="34"/>
      <c r="S55" s="353"/>
      <c r="T55" s="353"/>
      <c r="U55" s="34"/>
      <c r="V55" s="62"/>
      <c r="W55" s="62"/>
      <c r="X55" s="42"/>
    </row>
    <row r="56" spans="1:24" ht="15" customHeight="1" x14ac:dyDescent="0.25">
      <c r="C56" s="29"/>
      <c r="D56" s="29"/>
      <c r="E56" s="258" t="s">
        <v>504</v>
      </c>
      <c r="F56" s="258"/>
      <c r="G56" s="34"/>
      <c r="H56" s="34"/>
      <c r="I56" s="42"/>
      <c r="J56" s="352">
        <f>ROUND(SUM(J50:J54),-3)</f>
        <v>1200000</v>
      </c>
      <c r="K56" s="352"/>
      <c r="L56" s="34"/>
      <c r="M56" s="352">
        <f>SUM(M50:M54)</f>
        <v>2000000</v>
      </c>
      <c r="N56" s="352"/>
      <c r="O56" s="34"/>
      <c r="P56" s="352">
        <f>SUM(P50:P54)</f>
        <v>1500000</v>
      </c>
      <c r="Q56" s="352"/>
      <c r="R56" s="34"/>
      <c r="S56" s="352">
        <f>SUM(S50:S54)</f>
        <v>0</v>
      </c>
      <c r="T56" s="352"/>
      <c r="U56" s="34"/>
      <c r="V56" s="352">
        <f>SUM(V50:V54)</f>
        <v>0</v>
      </c>
      <c r="W56" s="352"/>
      <c r="X56" s="42"/>
    </row>
    <row r="57" spans="1:24" ht="15" customHeight="1" x14ac:dyDescent="0.25">
      <c r="C57" s="29"/>
      <c r="D57" s="29"/>
      <c r="E57" s="258" t="s">
        <v>65</v>
      </c>
      <c r="F57" s="258"/>
      <c r="G57" s="34"/>
      <c r="H57" s="34"/>
      <c r="I57" s="42"/>
      <c r="J57" s="352">
        <f>J56*0.077</f>
        <v>92400</v>
      </c>
      <c r="K57" s="352"/>
      <c r="L57" s="34"/>
      <c r="M57" s="352">
        <f>M56*0.077</f>
        <v>154000</v>
      </c>
      <c r="N57" s="352"/>
      <c r="O57" s="34"/>
      <c r="P57" s="352">
        <f>P56*0.077</f>
        <v>115500</v>
      </c>
      <c r="Q57" s="352"/>
      <c r="R57" s="34"/>
      <c r="S57" s="352">
        <f>S56*0.077</f>
        <v>0</v>
      </c>
      <c r="T57" s="352"/>
      <c r="U57" s="34"/>
      <c r="V57" s="352">
        <f>V56*0.077</f>
        <v>0</v>
      </c>
      <c r="W57" s="352"/>
      <c r="X57" s="42"/>
    </row>
    <row r="58" spans="1:24" ht="15" customHeight="1" x14ac:dyDescent="0.25">
      <c r="C58" s="29"/>
      <c r="D58" s="29"/>
      <c r="E58" s="258" t="s">
        <v>505</v>
      </c>
      <c r="F58" s="258"/>
      <c r="G58" s="34"/>
      <c r="H58" s="34"/>
      <c r="I58" s="42"/>
      <c r="J58" s="352">
        <f>ROUND(SUM(J56:J57),-3)</f>
        <v>1292000</v>
      </c>
      <c r="K58" s="352"/>
      <c r="L58" s="34"/>
      <c r="M58" s="352">
        <f>ROUND(SUM(M56:M57),-3)</f>
        <v>2154000</v>
      </c>
      <c r="N58" s="352"/>
      <c r="O58" s="34"/>
      <c r="P58" s="352">
        <f>ROUND(SUM(P56:P57),-3)</f>
        <v>1616000</v>
      </c>
      <c r="Q58" s="352"/>
      <c r="R58" s="34"/>
      <c r="S58" s="352">
        <f>ROUND(SUM(S56:S57),-3)</f>
        <v>0</v>
      </c>
      <c r="T58" s="352"/>
      <c r="U58" s="34"/>
      <c r="V58" s="352">
        <f>ROUND(SUM(V56:V57),-3)</f>
        <v>0</v>
      </c>
      <c r="W58" s="352"/>
      <c r="X58" s="42"/>
    </row>
    <row r="59" spans="1:24" ht="15" customHeight="1" x14ac:dyDescent="0.25">
      <c r="C59" s="29"/>
      <c r="D59" s="29"/>
      <c r="E59" s="29"/>
      <c r="F59" s="29"/>
      <c r="G59" s="29"/>
      <c r="H59" s="29"/>
      <c r="I59" s="29"/>
      <c r="J59" s="145">
        <f>IF(ISBLANK('(3) Variantenbewertung'!I11),0,J58)</f>
        <v>1292000</v>
      </c>
      <c r="K59" s="146"/>
      <c r="L59" s="146"/>
      <c r="M59" s="145">
        <f>IF(ISBLANK('(3) Variantenbewertung'!L11),0,M58)</f>
        <v>2154000</v>
      </c>
      <c r="N59" s="146"/>
      <c r="O59" s="146"/>
      <c r="P59" s="145">
        <f>IF(ISBLANK('(3) Variantenbewertung'!O11),0,P58)</f>
        <v>1616000</v>
      </c>
      <c r="Q59" s="146"/>
      <c r="R59" s="146"/>
      <c r="S59" s="145">
        <f>IF(ISBLANK('(3) Variantenbewertung'!R11),0,S58)</f>
        <v>0</v>
      </c>
      <c r="T59" s="146"/>
      <c r="U59" s="146"/>
      <c r="V59" s="145">
        <f>IF(ISBLANK('(3) Variantenbewertung'!U11),0,V58)</f>
        <v>0</v>
      </c>
      <c r="W59" s="146"/>
      <c r="X59" s="34"/>
    </row>
    <row r="60" spans="1:24" ht="15" customHeight="1" x14ac:dyDescent="0.25"/>
    <row r="61" spans="1:24" ht="15" customHeight="1" x14ac:dyDescent="0.25"/>
    <row r="62" spans="1:24" ht="15" customHeight="1" x14ac:dyDescent="0.25"/>
    <row r="63" spans="1:24" ht="15" customHeight="1" x14ac:dyDescent="0.25">
      <c r="A63" s="351" t="s">
        <v>242</v>
      </c>
      <c r="B63" s="351"/>
      <c r="C63" s="351"/>
      <c r="D63" s="351"/>
      <c r="E63" s="351"/>
      <c r="F63" s="351"/>
      <c r="G63" s="351"/>
      <c r="H63" s="351"/>
      <c r="I63" s="351"/>
      <c r="J63" s="351"/>
      <c r="K63" s="351"/>
      <c r="L63" s="351"/>
      <c r="M63" s="351"/>
      <c r="N63" s="351"/>
      <c r="O63" s="351"/>
      <c r="P63" s="351"/>
      <c r="Q63" s="351"/>
      <c r="R63" s="351"/>
      <c r="S63" s="351"/>
      <c r="T63" s="351"/>
      <c r="U63" s="351"/>
      <c r="V63" s="351"/>
      <c r="W63" s="351"/>
      <c r="X63" s="351"/>
    </row>
    <row r="64" spans="1:24" ht="15" customHeight="1" x14ac:dyDescent="0.25"/>
    <row r="65" spans="2:2" ht="15" customHeight="1" x14ac:dyDescent="0.25">
      <c r="B65" s="153" t="s">
        <v>243</v>
      </c>
    </row>
    <row r="66" spans="2:2" ht="15" customHeight="1" x14ac:dyDescent="0.25"/>
  </sheetData>
  <sheetProtection algorithmName="SHA-512" hashValue="7nq/9jUeVpyKoCm10SN/VqO1a53JxfxMiNiqKFCWSGVCNgMfieZdaHoyrAAqpP9R8hIDcFVrv3TRCgmo8VfRDQ==" saltValue="NZXbEld4+kShD2uwYL8qdQ==" spinCount="100000" sheet="1" scenarios="1"/>
  <mergeCells count="93">
    <mergeCell ref="A63:X63"/>
    <mergeCell ref="S48:T48"/>
    <mergeCell ref="V58:W58"/>
    <mergeCell ref="V57:W57"/>
    <mergeCell ref="V56:W56"/>
    <mergeCell ref="V54:W54"/>
    <mergeCell ref="V53:W53"/>
    <mergeCell ref="V52:W52"/>
    <mergeCell ref="V51:W51"/>
    <mergeCell ref="V50:W50"/>
    <mergeCell ref="V49:W49"/>
    <mergeCell ref="V48:W48"/>
    <mergeCell ref="S53:T53"/>
    <mergeCell ref="S52:T52"/>
    <mergeCell ref="S51:T51"/>
    <mergeCell ref="S50:T50"/>
    <mergeCell ref="S49:T49"/>
    <mergeCell ref="S58:T58"/>
    <mergeCell ref="S57:T57"/>
    <mergeCell ref="S56:T56"/>
    <mergeCell ref="S55:T55"/>
    <mergeCell ref="S54:T54"/>
    <mergeCell ref="P52:Q52"/>
    <mergeCell ref="P51:Q51"/>
    <mergeCell ref="P50:Q50"/>
    <mergeCell ref="P49:Q49"/>
    <mergeCell ref="P48:Q48"/>
    <mergeCell ref="P58:Q58"/>
    <mergeCell ref="P57:Q57"/>
    <mergeCell ref="P56:Q56"/>
    <mergeCell ref="P54:Q54"/>
    <mergeCell ref="P53:Q53"/>
    <mergeCell ref="J48:K48"/>
    <mergeCell ref="M58:N58"/>
    <mergeCell ref="M57:N57"/>
    <mergeCell ref="M56:N56"/>
    <mergeCell ref="M54:N54"/>
    <mergeCell ref="M53:N53"/>
    <mergeCell ref="M52:N52"/>
    <mergeCell ref="M51:N51"/>
    <mergeCell ref="M50:N50"/>
    <mergeCell ref="M49:N49"/>
    <mergeCell ref="M48:N48"/>
    <mergeCell ref="J53:K53"/>
    <mergeCell ref="J52:K52"/>
    <mergeCell ref="J51:K51"/>
    <mergeCell ref="J50:K50"/>
    <mergeCell ref="J49:K49"/>
    <mergeCell ref="J58:K58"/>
    <mergeCell ref="J57:K57"/>
    <mergeCell ref="J56:K56"/>
    <mergeCell ref="J55:K55"/>
    <mergeCell ref="J54:K54"/>
    <mergeCell ref="P21:Q21"/>
    <mergeCell ref="S21:T21"/>
    <mergeCell ref="V21:W21"/>
    <mergeCell ref="J33:K33"/>
    <mergeCell ref="M33:N33"/>
    <mergeCell ref="P33:Q33"/>
    <mergeCell ref="S33:T33"/>
    <mergeCell ref="V33:W33"/>
    <mergeCell ref="A5:X5"/>
    <mergeCell ref="E12:F12"/>
    <mergeCell ref="E13:F13"/>
    <mergeCell ref="E11:F11"/>
    <mergeCell ref="A3:D3"/>
    <mergeCell ref="J9:K9"/>
    <mergeCell ref="M9:N9"/>
    <mergeCell ref="P9:Q9"/>
    <mergeCell ref="E14:F14"/>
    <mergeCell ref="C8:F8"/>
    <mergeCell ref="C47:F47"/>
    <mergeCell ref="C20:F20"/>
    <mergeCell ref="E23:F23"/>
    <mergeCell ref="E24:F24"/>
    <mergeCell ref="E25:F25"/>
    <mergeCell ref="E26:F26"/>
    <mergeCell ref="C32:F32"/>
    <mergeCell ref="E35:F35"/>
    <mergeCell ref="E36:F36"/>
    <mergeCell ref="A43:X43"/>
    <mergeCell ref="S9:T9"/>
    <mergeCell ref="V9:W9"/>
    <mergeCell ref="J21:K21"/>
    <mergeCell ref="M21:N21"/>
    <mergeCell ref="E50:F50"/>
    <mergeCell ref="E52:F52"/>
    <mergeCell ref="E54:F54"/>
    <mergeCell ref="E58:F58"/>
    <mergeCell ref="E57:F57"/>
    <mergeCell ref="E56:F56"/>
    <mergeCell ref="E53:F53"/>
    <mergeCell ref="E51:F51"/>
  </mergeCells>
  <conditionalFormatting sqref="G35:G36">
    <cfRule type="cellIs" dxfId="164" priority="71" operator="equal">
      <formula>"mässig"</formula>
    </cfRule>
    <cfRule type="cellIs" dxfId="163" priority="72" operator="equal">
      <formula>"gut"</formula>
    </cfRule>
    <cfRule type="cellIs" dxfId="162" priority="73" operator="equal">
      <formula>"schlecht"</formula>
    </cfRule>
  </conditionalFormatting>
  <conditionalFormatting sqref="H10:H15">
    <cfRule type="cellIs" dxfId="161" priority="7" operator="equal">
      <formula>"mässig"</formula>
    </cfRule>
    <cfRule type="cellIs" dxfId="160" priority="8" operator="equal">
      <formula>"gut"</formula>
    </cfRule>
    <cfRule type="cellIs" dxfId="159" priority="9" operator="equal">
      <formula>"schlecht"</formula>
    </cfRule>
  </conditionalFormatting>
  <conditionalFormatting sqref="H22:H27">
    <cfRule type="cellIs" dxfId="158" priority="4" operator="equal">
      <formula>"mässig"</formula>
    </cfRule>
    <cfRule type="cellIs" dxfId="157" priority="5" operator="equal">
      <formula>"gut"</formula>
    </cfRule>
    <cfRule type="cellIs" dxfId="156" priority="6" operator="equal">
      <formula>"schlecht"</formula>
    </cfRule>
  </conditionalFormatting>
  <conditionalFormatting sqref="H34:H36">
    <cfRule type="cellIs" dxfId="155" priority="2" operator="equal">
      <formula>"gut"</formula>
    </cfRule>
    <cfRule type="cellIs" dxfId="154" priority="3" operator="equal">
      <formula>"schlecht"</formula>
    </cfRule>
    <cfRule type="cellIs" dxfId="153" priority="1" operator="equal">
      <formula>"mässig"</formula>
    </cfRule>
  </conditionalFormatting>
  <conditionalFormatting sqref="I11:J15 K11:K17 J16:W16 I23:X27 I35:X37 L11:X15 N11:N17 Q11:Q17 T11:T17 W11:W17 I6:X8 I9:I10 X9:X10 I17:J17 L17:X17 I20:X20 I29:X29 I32:X32 I33:I34 X33:X34 I39:X39 I47:X47 X48:X49 I59:X59">
    <cfRule type="cellIs" dxfId="152" priority="453" operator="equal">
      <formula>"schlecht"</formula>
    </cfRule>
    <cfRule type="cellIs" dxfId="151" priority="452" operator="equal">
      <formula>"gut"</formula>
    </cfRule>
    <cfRule type="cellIs" dxfId="150" priority="451" operator="equal">
      <formula>"mässig"</formula>
    </cfRule>
  </conditionalFormatting>
  <conditionalFormatting sqref="I48:J49 L48:M54 O48:P54 R48:S54 U48:V54">
    <cfRule type="cellIs" dxfId="149" priority="339" operator="equal">
      <formula>"schlecht"</formula>
    </cfRule>
    <cfRule type="cellIs" dxfId="148" priority="338" operator="equal">
      <formula>"gut"</formula>
    </cfRule>
    <cfRule type="cellIs" dxfId="147" priority="337" operator="equal">
      <formula>"mässig"</formula>
    </cfRule>
  </conditionalFormatting>
  <conditionalFormatting sqref="J9">
    <cfRule type="cellIs" dxfId="146" priority="330" operator="equal">
      <formula>"schlecht"</formula>
    </cfRule>
    <cfRule type="cellIs" dxfId="145" priority="329" operator="equal">
      <formula>"gut"</formula>
    </cfRule>
    <cfRule type="cellIs" dxfId="144" priority="328" operator="equal">
      <formula>"mässig"</formula>
    </cfRule>
  </conditionalFormatting>
  <conditionalFormatting sqref="J21">
    <cfRule type="cellIs" dxfId="143" priority="279" operator="equal">
      <formula>"schlecht"</formula>
    </cfRule>
    <cfRule type="cellIs" dxfId="142" priority="278" operator="equal">
      <formula>"gut"</formula>
    </cfRule>
    <cfRule type="cellIs" dxfId="141" priority="277" operator="equal">
      <formula>"mässig"</formula>
    </cfRule>
  </conditionalFormatting>
  <conditionalFormatting sqref="J28 I21:I22 X21:X22">
    <cfRule type="cellIs" dxfId="139" priority="447" operator="equal">
      <formula>"schlecht"</formula>
    </cfRule>
    <cfRule type="cellIs" dxfId="138" priority="446" operator="equal">
      <formula>"gut"</formula>
    </cfRule>
    <cfRule type="cellIs" dxfId="137" priority="445" operator="equal">
      <formula>"mässig"</formula>
    </cfRule>
  </conditionalFormatting>
  <conditionalFormatting sqref="J33">
    <cfRule type="cellIs" dxfId="135" priority="228" operator="equal">
      <formula>"schlecht"</formula>
    </cfRule>
    <cfRule type="cellIs" dxfId="134" priority="227" operator="equal">
      <formula>"gut"</formula>
    </cfRule>
    <cfRule type="cellIs" dxfId="133" priority="226" operator="equal">
      <formula>"mässig"</formula>
    </cfRule>
  </conditionalFormatting>
  <conditionalFormatting sqref="J50:J58 L55:S55 L56:M58 O56:P58 R56:S58 U55:W55 U56:V58">
    <cfRule type="cellIs" dxfId="132" priority="430" operator="equal">
      <formula>"mässig"</formula>
    </cfRule>
    <cfRule type="cellIs" dxfId="131" priority="432" operator="equal">
      <formula>"schlecht"</formula>
    </cfRule>
    <cfRule type="cellIs" dxfId="130" priority="431" operator="equal">
      <formula>"gut"</formula>
    </cfRule>
  </conditionalFormatting>
  <conditionalFormatting sqref="J10:K10">
    <cfRule type="cellIs" dxfId="128" priority="173" operator="equal">
      <formula>"mässig"</formula>
    </cfRule>
    <cfRule type="cellIs" dxfId="127" priority="174" operator="equal">
      <formula>"gut"</formula>
    </cfRule>
    <cfRule type="cellIs" dxfId="126" priority="175" operator="equal">
      <formula>"schlecht"</formula>
    </cfRule>
  </conditionalFormatting>
  <conditionalFormatting sqref="J22:K22">
    <cfRule type="cellIs" dxfId="125" priority="138" operator="equal">
      <formula>"mässig"</formula>
    </cfRule>
    <cfRule type="cellIs" dxfId="124" priority="139" operator="equal">
      <formula>"gut"</formula>
    </cfRule>
    <cfRule type="cellIs" dxfId="123" priority="140" operator="equal">
      <formula>"schlecht"</formula>
    </cfRule>
  </conditionalFormatting>
  <conditionalFormatting sqref="J34:K34">
    <cfRule type="cellIs" dxfId="122" priority="105" operator="equal">
      <formula>"schlecht"</formula>
    </cfRule>
    <cfRule type="cellIs" dxfId="121" priority="104" operator="equal">
      <formula>"gut"</formula>
    </cfRule>
    <cfRule type="cellIs" dxfId="120" priority="103" operator="equal">
      <formula>"mässig"</formula>
    </cfRule>
  </conditionalFormatting>
  <conditionalFormatting sqref="J38:W38">
    <cfRule type="cellIs" dxfId="119" priority="366" operator="equal">
      <formula>"schlecht"</formula>
    </cfRule>
    <cfRule type="cellIs" dxfId="118" priority="365" operator="equal">
      <formula>"gut"</formula>
    </cfRule>
    <cfRule type="cellIs" dxfId="117" priority="364" operator="equal">
      <formula>"mässig"</formula>
    </cfRule>
  </conditionalFormatting>
  <conditionalFormatting sqref="J11:X14 J23:X26">
    <cfRule type="cellIs" dxfId="116" priority="449" operator="equal">
      <formula>3</formula>
    </cfRule>
    <cfRule type="cellIs" dxfId="115" priority="450" operator="equal">
      <formula>2</formula>
    </cfRule>
    <cfRule type="cellIs" dxfId="114" priority="448" operator="equal">
      <formula>1</formula>
    </cfRule>
  </conditionalFormatting>
  <conditionalFormatting sqref="K28:M28">
    <cfRule type="cellIs" dxfId="112" priority="48" operator="equal">
      <formula>"gut"</formula>
    </cfRule>
    <cfRule type="cellIs" dxfId="111" priority="49" operator="equal">
      <formula>"schlecht"</formula>
    </cfRule>
    <cfRule type="cellIs" dxfId="110" priority="47" operator="equal">
      <formula>"mässig"</formula>
    </cfRule>
  </conditionalFormatting>
  <conditionalFormatting sqref="L9:L10 O9:O10 R9:R10 U9:U10">
    <cfRule type="cellIs" dxfId="109" priority="331" operator="equal">
      <formula>"mässig"</formula>
    </cfRule>
    <cfRule type="cellIs" dxfId="108" priority="333" operator="equal">
      <formula>"schlecht"</formula>
    </cfRule>
    <cfRule type="cellIs" dxfId="107" priority="332" operator="equal">
      <formula>"gut"</formula>
    </cfRule>
  </conditionalFormatting>
  <conditionalFormatting sqref="L21:L22 O21:O22 R21:R22 U21:U22">
    <cfRule type="cellIs" dxfId="106" priority="280" operator="equal">
      <formula>"mässig"</formula>
    </cfRule>
    <cfRule type="cellIs" dxfId="105" priority="281" operator="equal">
      <formula>"gut"</formula>
    </cfRule>
    <cfRule type="cellIs" dxfId="104" priority="282" operator="equal">
      <formula>"schlecht"</formula>
    </cfRule>
  </conditionalFormatting>
  <conditionalFormatting sqref="L33:L34 O33:O34 R33:R34 U33:U34">
    <cfRule type="cellIs" dxfId="103" priority="229" operator="equal">
      <formula>"mässig"</formula>
    </cfRule>
    <cfRule type="cellIs" dxfId="102" priority="230" operator="equal">
      <formula>"gut"</formula>
    </cfRule>
    <cfRule type="cellIs" dxfId="101" priority="231" operator="equal">
      <formula>"schlecht"</formula>
    </cfRule>
  </conditionalFormatting>
  <conditionalFormatting sqref="M9">
    <cfRule type="cellIs" dxfId="100" priority="325" operator="equal">
      <formula>"mässig"</formula>
    </cfRule>
    <cfRule type="cellIs" dxfId="99" priority="326" operator="equal">
      <formula>"gut"</formula>
    </cfRule>
    <cfRule type="cellIs" dxfId="98" priority="327" operator="equal">
      <formula>"schlecht"</formula>
    </cfRule>
  </conditionalFormatting>
  <conditionalFormatting sqref="M21">
    <cfRule type="cellIs" dxfId="97" priority="276" operator="equal">
      <formula>"schlecht"</formula>
    </cfRule>
    <cfRule type="cellIs" dxfId="96" priority="274" operator="equal">
      <formula>"mässig"</formula>
    </cfRule>
    <cfRule type="cellIs" dxfId="95" priority="275" operator="equal">
      <formula>"gut"</formula>
    </cfRule>
  </conditionalFormatting>
  <conditionalFormatting sqref="M33">
    <cfRule type="cellIs" dxfId="91" priority="225" operator="equal">
      <formula>"schlecht"</formula>
    </cfRule>
    <cfRule type="cellIs" dxfId="90" priority="224" operator="equal">
      <formula>"gut"</formula>
    </cfRule>
    <cfRule type="cellIs" dxfId="89" priority="223" operator="equal">
      <formula>"mässig"</formula>
    </cfRule>
  </conditionalFormatting>
  <conditionalFormatting sqref="M10:N10">
    <cfRule type="cellIs" dxfId="87" priority="167" operator="equal">
      <formula>"gut"</formula>
    </cfRule>
    <cfRule type="cellIs" dxfId="86" priority="166" operator="equal">
      <formula>"mässig"</formula>
    </cfRule>
    <cfRule type="cellIs" dxfId="85" priority="168" operator="equal">
      <formula>"schlecht"</formula>
    </cfRule>
  </conditionalFormatting>
  <conditionalFormatting sqref="M22:N22">
    <cfRule type="cellIs" dxfId="84" priority="132" operator="equal">
      <formula>"gut"</formula>
    </cfRule>
    <cfRule type="cellIs" dxfId="83" priority="131" operator="equal">
      <formula>"mässig"</formula>
    </cfRule>
    <cfRule type="cellIs" dxfId="82" priority="133" operator="equal">
      <formula>"schlecht"</formula>
    </cfRule>
  </conditionalFormatting>
  <conditionalFormatting sqref="M34:N34">
    <cfRule type="cellIs" dxfId="81" priority="98" operator="equal">
      <formula>"schlecht"</formula>
    </cfRule>
    <cfRule type="cellIs" dxfId="80" priority="97" operator="equal">
      <formula>"gut"</formula>
    </cfRule>
    <cfRule type="cellIs" dxfId="79" priority="96" operator="equal">
      <formula>"mässig"</formula>
    </cfRule>
  </conditionalFormatting>
  <conditionalFormatting sqref="N28:P28">
    <cfRule type="cellIs" dxfId="77" priority="40" operator="equal">
      <formula>"schlecht"</formula>
    </cfRule>
    <cfRule type="cellIs" dxfId="76" priority="39" operator="equal">
      <formula>"gut"</formula>
    </cfRule>
    <cfRule type="cellIs" dxfId="75" priority="38" operator="equal">
      <formula>"mässig"</formula>
    </cfRule>
  </conditionalFormatting>
  <conditionalFormatting sqref="P9">
    <cfRule type="cellIs" dxfId="74" priority="324" operator="equal">
      <formula>"schlecht"</formula>
    </cfRule>
    <cfRule type="cellIs" dxfId="73" priority="323" operator="equal">
      <formula>"gut"</formula>
    </cfRule>
    <cfRule type="cellIs" dxfId="72" priority="322" operator="equal">
      <formula>"mässig"</formula>
    </cfRule>
  </conditionalFormatting>
  <conditionalFormatting sqref="P21">
    <cfRule type="cellIs" dxfId="71" priority="271" operator="equal">
      <formula>"mässig"</formula>
    </cfRule>
    <cfRule type="cellIs" dxfId="70" priority="272" operator="equal">
      <formula>"gut"</formula>
    </cfRule>
    <cfRule type="cellIs" dxfId="69" priority="273" operator="equal">
      <formula>"schlecht"</formula>
    </cfRule>
  </conditionalFormatting>
  <conditionalFormatting sqref="P33">
    <cfRule type="cellIs" dxfId="66" priority="220" operator="equal">
      <formula>"mässig"</formula>
    </cfRule>
    <cfRule type="cellIs" dxfId="65" priority="222" operator="equal">
      <formula>"schlecht"</formula>
    </cfRule>
    <cfRule type="cellIs" dxfId="64" priority="221" operator="equal">
      <formula>"gut"</formula>
    </cfRule>
  </conditionalFormatting>
  <conditionalFormatting sqref="P10:Q10">
    <cfRule type="cellIs" dxfId="62" priority="161" operator="equal">
      <formula>"schlecht"</formula>
    </cfRule>
    <cfRule type="cellIs" dxfId="61" priority="159" operator="equal">
      <formula>"mässig"</formula>
    </cfRule>
    <cfRule type="cellIs" dxfId="60" priority="160" operator="equal">
      <formula>"gut"</formula>
    </cfRule>
  </conditionalFormatting>
  <conditionalFormatting sqref="P22:Q22">
    <cfRule type="cellIs" dxfId="59" priority="126" operator="equal">
      <formula>"schlecht"</formula>
    </cfRule>
    <cfRule type="cellIs" dxfId="58" priority="124" operator="equal">
      <formula>"mässig"</formula>
    </cfRule>
    <cfRule type="cellIs" dxfId="57" priority="125" operator="equal">
      <formula>"gut"</formula>
    </cfRule>
  </conditionalFormatting>
  <conditionalFormatting sqref="P34:Q34">
    <cfRule type="cellIs" dxfId="56" priority="89" operator="equal">
      <formula>"mässig"</formula>
    </cfRule>
    <cfRule type="cellIs" dxfId="55" priority="91" operator="equal">
      <formula>"schlecht"</formula>
    </cfRule>
    <cfRule type="cellIs" dxfId="54" priority="90" operator="equal">
      <formula>"gut"</formula>
    </cfRule>
  </conditionalFormatting>
  <conditionalFormatting sqref="Q28:S28">
    <cfRule type="cellIs" dxfId="52" priority="31" operator="equal">
      <formula>"schlecht"</formula>
    </cfRule>
    <cfRule type="cellIs" dxfId="51" priority="30" operator="equal">
      <formula>"gut"</formula>
    </cfRule>
    <cfRule type="cellIs" dxfId="50" priority="29" operator="equal">
      <formula>"mässig"</formula>
    </cfRule>
  </conditionalFormatting>
  <conditionalFormatting sqref="S9">
    <cfRule type="cellIs" dxfId="49" priority="319" operator="equal">
      <formula>"mässig"</formula>
    </cfRule>
    <cfRule type="cellIs" dxfId="48" priority="320" operator="equal">
      <formula>"gut"</formula>
    </cfRule>
    <cfRule type="cellIs" dxfId="47" priority="321" operator="equal">
      <formula>"schlecht"</formula>
    </cfRule>
  </conditionalFormatting>
  <conditionalFormatting sqref="S21">
    <cfRule type="cellIs" dxfId="46" priority="269" operator="equal">
      <formula>"gut"</formula>
    </cfRule>
    <cfRule type="cellIs" dxfId="45" priority="270" operator="equal">
      <formula>"schlecht"</formula>
    </cfRule>
    <cfRule type="cellIs" dxfId="44" priority="268" operator="equal">
      <formula>"mässig"</formula>
    </cfRule>
  </conditionalFormatting>
  <conditionalFormatting sqref="S33">
    <cfRule type="cellIs" dxfId="41" priority="217" operator="equal">
      <formula>"mässig"</formula>
    </cfRule>
    <cfRule type="cellIs" dxfId="40" priority="219" operator="equal">
      <formula>"schlecht"</formula>
    </cfRule>
    <cfRule type="cellIs" dxfId="39" priority="218" operator="equal">
      <formula>"gut"</formula>
    </cfRule>
  </conditionalFormatting>
  <conditionalFormatting sqref="S10:T10">
    <cfRule type="cellIs" dxfId="37" priority="153" operator="equal">
      <formula>"gut"</formula>
    </cfRule>
    <cfRule type="cellIs" dxfId="36" priority="154" operator="equal">
      <formula>"schlecht"</formula>
    </cfRule>
    <cfRule type="cellIs" dxfId="35" priority="152" operator="equal">
      <formula>"mässig"</formula>
    </cfRule>
  </conditionalFormatting>
  <conditionalFormatting sqref="S22:T22">
    <cfRule type="cellIs" dxfId="34" priority="118" operator="equal">
      <formula>"gut"</formula>
    </cfRule>
    <cfRule type="cellIs" dxfId="33" priority="117" operator="equal">
      <formula>"mässig"</formula>
    </cfRule>
    <cfRule type="cellIs" dxfId="32" priority="119" operator="equal">
      <formula>"schlecht"</formula>
    </cfRule>
  </conditionalFormatting>
  <conditionalFormatting sqref="S34:T34">
    <cfRule type="cellIs" dxfId="31" priority="82" operator="equal">
      <formula>"mässig"</formula>
    </cfRule>
    <cfRule type="cellIs" dxfId="30" priority="83" operator="equal">
      <formula>"gut"</formula>
    </cfRule>
    <cfRule type="cellIs" dxfId="29" priority="84" operator="equal">
      <formula>"schlecht"</formula>
    </cfRule>
  </conditionalFormatting>
  <conditionalFormatting sqref="T28:V28">
    <cfRule type="cellIs" dxfId="27" priority="22" operator="equal">
      <formula>"schlecht"</formula>
    </cfRule>
    <cfRule type="cellIs" dxfId="26" priority="21" operator="equal">
      <formula>"gut"</formula>
    </cfRule>
    <cfRule type="cellIs" dxfId="25" priority="20" operator="equal">
      <formula>"mässig"</formula>
    </cfRule>
  </conditionalFormatting>
  <conditionalFormatting sqref="V9">
    <cfRule type="cellIs" dxfId="24" priority="316" operator="equal">
      <formula>"mässig"</formula>
    </cfRule>
    <cfRule type="cellIs" dxfId="23" priority="318" operator="equal">
      <formula>"schlecht"</formula>
    </cfRule>
    <cfRule type="cellIs" dxfId="22" priority="317" operator="equal">
      <formula>"gut"</formula>
    </cfRule>
  </conditionalFormatting>
  <conditionalFormatting sqref="V21">
    <cfRule type="cellIs" dxfId="21" priority="266" operator="equal">
      <formula>"gut"</formula>
    </cfRule>
    <cfRule type="cellIs" dxfId="20" priority="267" operator="equal">
      <formula>"schlecht"</formula>
    </cfRule>
    <cfRule type="cellIs" dxfId="19" priority="265" operator="equal">
      <formula>"mässig"</formula>
    </cfRule>
  </conditionalFormatting>
  <conditionalFormatting sqref="V33">
    <cfRule type="cellIs" dxfId="16" priority="216" operator="equal">
      <formula>"schlecht"</formula>
    </cfRule>
    <cfRule type="cellIs" dxfId="15" priority="214" operator="equal">
      <formula>"mässig"</formula>
    </cfRule>
    <cfRule type="cellIs" dxfId="14" priority="215" operator="equal">
      <formula>"gut"</formula>
    </cfRule>
  </conditionalFormatting>
  <conditionalFormatting sqref="V10:W10">
    <cfRule type="cellIs" dxfId="12" priority="147" operator="equal">
      <formula>"schlecht"</formula>
    </cfRule>
    <cfRule type="cellIs" dxfId="11" priority="146" operator="equal">
      <formula>"gut"</formula>
    </cfRule>
    <cfRule type="cellIs" dxfId="10" priority="145" operator="equal">
      <formula>"mässig"</formula>
    </cfRule>
  </conditionalFormatting>
  <conditionalFormatting sqref="V22:W22">
    <cfRule type="cellIs" dxfId="9" priority="112" operator="equal">
      <formula>"schlecht"</formula>
    </cfRule>
    <cfRule type="cellIs" dxfId="8" priority="111" operator="equal">
      <formula>"gut"</formula>
    </cfRule>
    <cfRule type="cellIs" dxfId="7" priority="110" operator="equal">
      <formula>"mässig"</formula>
    </cfRule>
  </conditionalFormatting>
  <conditionalFormatting sqref="V34:W34">
    <cfRule type="cellIs" dxfId="6" priority="77" operator="equal">
      <formula>"schlecht"</formula>
    </cfRule>
    <cfRule type="cellIs" dxfId="5" priority="76" operator="equal">
      <formula>"gut"</formula>
    </cfRule>
    <cfRule type="cellIs" dxfId="4" priority="75" operator="equal">
      <formula>"mässig"</formula>
    </cfRule>
  </conditionalFormatting>
  <conditionalFormatting sqref="W28">
    <cfRule type="cellIs" dxfId="3" priority="13" operator="equal">
      <formula>"schlecht"</formula>
    </cfRule>
    <cfRule type="cellIs" dxfId="2" priority="12" operator="equal">
      <formula>"gut"</formula>
    </cfRule>
    <cfRule type="cellIs" dxfId="1" priority="11" operator="equal">
      <formula>"mässig"</formula>
    </cfRule>
  </conditionalFormatting>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expression" priority="70" id="{EFB5EA23-8F5F-4CE5-B6EA-B2831DE463E4}">
            <xm:f>ISBLANK('(3) Variantenbewertung'!$L$11)=TRUE</xm:f>
            <x14:dxf>
              <font>
                <color theme="0" tint="-0.14996795556505021"/>
              </font>
              <fill>
                <patternFill>
                  <bgColor theme="0" tint="-0.14996795556505021"/>
                </patternFill>
              </fill>
              <border>
                <left/>
                <right/>
                <top/>
                <bottom/>
                <vertical/>
                <horizontal/>
              </border>
            </x14:dxf>
          </x14:cfRule>
          <xm:sqref>G35:G36</xm:sqref>
        </x14:conditionalFormatting>
        <x14:conditionalFormatting xmlns:xm="http://schemas.microsoft.com/office/excel/2006/main">
          <x14:cfRule type="expression" priority="60" id="{F451DF7D-3AAC-4533-93F0-C2D38725FF32}">
            <xm:f>ISBLANK('(3) Variantenbewertung'!$O$11)=TRUE</xm:f>
            <x14:dxf>
              <font>
                <color theme="0" tint="-0.14996795556505021"/>
              </font>
              <fill>
                <patternFill>
                  <bgColor theme="0" tint="-0.14996795556505021"/>
                </patternFill>
              </fill>
              <border>
                <left/>
                <right/>
                <top/>
                <bottom/>
                <vertical/>
                <horizontal/>
              </border>
            </x14:dxf>
          </x14:cfRule>
          <xm:sqref>J23</xm:sqref>
        </x14:conditionalFormatting>
        <x14:conditionalFormatting xmlns:xm="http://schemas.microsoft.com/office/excel/2006/main">
          <x14:cfRule type="expression" priority="62" id="{A50D6B61-7555-4DC7-A363-8A6572227204}">
            <xm:f>ISBLANK('(3) Variantenbewertung'!$O$11)=TRUE</xm:f>
            <x14:dxf>
              <font>
                <color theme="0" tint="-0.14996795556505021"/>
              </font>
              <fill>
                <patternFill>
                  <bgColor theme="0" tint="-0.14996795556505021"/>
                </patternFill>
              </fill>
              <border>
                <left/>
                <right/>
                <top/>
                <bottom/>
                <vertical/>
                <horizontal/>
              </border>
            </x14:dxf>
          </x14:cfRule>
          <xm:sqref>J28</xm:sqref>
        </x14:conditionalFormatting>
        <x14:conditionalFormatting xmlns:xm="http://schemas.microsoft.com/office/excel/2006/main">
          <x14:cfRule type="expression" priority="183" id="{57E75558-F4D6-40EC-8044-FF7577E37066}">
            <xm:f>ISBLANK('(3) Variantenbewertung'!$I$11)=TRUE</xm:f>
            <x14:dxf>
              <font>
                <color theme="0" tint="-0.14996795556505021"/>
              </font>
              <fill>
                <patternFill>
                  <bgColor theme="0" tint="-0.14996795556505021"/>
                </patternFill>
              </fill>
              <border>
                <left/>
                <right/>
                <top/>
                <bottom/>
                <vertical/>
                <horizontal/>
              </border>
            </x14:dxf>
          </x14:cfRule>
          <xm:sqref>J9:K16 J21:K28 J33:K38 J28 J48:K58</xm:sqref>
        </x14:conditionalFormatting>
        <x14:conditionalFormatting xmlns:xm="http://schemas.microsoft.com/office/excel/2006/main">
          <x14:cfRule type="expression" priority="46" id="{71AFED30-3846-4617-BD15-2CB7F6EA6562}">
            <xm:f>ISBLANK('(3) Variantenbewertung'!$L$11)=TRUE</xm:f>
            <x14:dxf>
              <font>
                <color theme="0" tint="-0.14996795556505021"/>
              </font>
              <fill>
                <patternFill>
                  <bgColor theme="0" tint="-0.14996795556505021"/>
                </patternFill>
              </fill>
              <border>
                <left/>
                <right/>
                <top/>
                <bottom/>
                <vertical/>
                <horizontal/>
              </border>
            </x14:dxf>
          </x14:cfRule>
          <xm:sqref>K28</xm:sqref>
        </x14:conditionalFormatting>
        <x14:conditionalFormatting xmlns:xm="http://schemas.microsoft.com/office/excel/2006/main">
          <x14:cfRule type="expression" priority="61" id="{5557D455-4656-43BC-9EC7-442079FB125D}">
            <xm:f>ISBLANK('(3) Variantenbewertung'!$O$11)=TRUE</xm:f>
            <x14:dxf>
              <font>
                <color theme="0" tint="-0.14996795556505021"/>
              </font>
              <fill>
                <patternFill>
                  <bgColor theme="0" tint="-0.14996795556505021"/>
                </patternFill>
              </fill>
              <border>
                <left/>
                <right/>
                <top/>
                <bottom/>
                <vertical/>
                <horizontal/>
              </border>
            </x14:dxf>
          </x14:cfRule>
          <xm:sqref>M23</xm:sqref>
        </x14:conditionalFormatting>
        <x14:conditionalFormatting xmlns:xm="http://schemas.microsoft.com/office/excel/2006/main">
          <x14:cfRule type="expression" priority="45" id="{87B87337-BF79-4219-9ADB-F1B7C07AC265}">
            <xm:f>ISBLANK('(3) Variantenbewertung'!$I$11)=TRUE</xm:f>
            <x14:dxf>
              <font>
                <color theme="0" tint="-0.14996795556505021"/>
              </font>
              <fill>
                <patternFill>
                  <bgColor theme="0" tint="-0.14996795556505021"/>
                </patternFill>
              </fill>
              <border>
                <left/>
                <right/>
                <top/>
                <bottom/>
                <vertical/>
                <horizontal/>
              </border>
            </x14:dxf>
          </x14:cfRule>
          <x14:cfRule type="expression" priority="44" id="{8F9BF2FB-241D-4554-9F62-E5D16FCEAEBD}">
            <xm:f>ISBLANK('(3) Variantenbewertung'!$O$11)=TRUE</xm:f>
            <x14:dxf>
              <font>
                <color theme="0" tint="-0.14996795556505021"/>
              </font>
              <fill>
                <patternFill>
                  <bgColor theme="0" tint="-0.14996795556505021"/>
                </patternFill>
              </fill>
              <border>
                <left/>
                <right/>
                <top/>
                <bottom/>
                <vertical/>
                <horizontal/>
              </border>
            </x14:dxf>
          </x14:cfRule>
          <xm:sqref>M28</xm:sqref>
        </x14:conditionalFormatting>
        <x14:conditionalFormatting xmlns:xm="http://schemas.microsoft.com/office/excel/2006/main">
          <x14:cfRule type="expression" priority="182" id="{A294112C-34CE-4421-8D75-E5B6B25664EF}">
            <xm:f>ISBLANK('(3) Variantenbewertung'!$L$11)=TRUE</xm:f>
            <x14:dxf>
              <font>
                <color theme="0" tint="-0.14996795556505021"/>
              </font>
              <fill>
                <patternFill>
                  <bgColor theme="0" tint="-0.14996795556505021"/>
                </patternFill>
              </fill>
              <border>
                <left/>
                <right/>
                <top/>
                <bottom/>
                <vertical/>
                <horizontal/>
              </border>
            </x14:dxf>
          </x14:cfRule>
          <xm:sqref>M9:N16 M21:N28 M33:N38 M48:N58</xm:sqref>
        </x14:conditionalFormatting>
        <x14:conditionalFormatting xmlns:xm="http://schemas.microsoft.com/office/excel/2006/main">
          <x14:cfRule type="expression" priority="37" id="{7F1644DC-0559-4F75-9F51-B67B7052DFFC}">
            <xm:f>ISBLANK('(3) Variantenbewertung'!$L$11)=TRUE</xm:f>
            <x14:dxf>
              <font>
                <color theme="0" tint="-0.14996795556505021"/>
              </font>
              <fill>
                <patternFill>
                  <bgColor theme="0" tint="-0.14996795556505021"/>
                </patternFill>
              </fill>
              <border>
                <left/>
                <right/>
                <top/>
                <bottom/>
                <vertical/>
                <horizontal/>
              </border>
            </x14:dxf>
          </x14:cfRule>
          <xm:sqref>N28</xm:sqref>
        </x14:conditionalFormatting>
        <x14:conditionalFormatting xmlns:xm="http://schemas.microsoft.com/office/excel/2006/main">
          <x14:cfRule type="expression" priority="35" id="{C0C445F6-4947-4339-9AC9-53E594508C38}">
            <xm:f>ISBLANK('(3) Variantenbewertung'!$O$11)=TRUE</xm:f>
            <x14:dxf>
              <font>
                <color theme="0" tint="-0.14996795556505021"/>
              </font>
              <fill>
                <patternFill>
                  <bgColor theme="0" tint="-0.14996795556505021"/>
                </patternFill>
              </fill>
              <border>
                <left/>
                <right/>
                <top/>
                <bottom/>
                <vertical/>
                <horizontal/>
              </border>
            </x14:dxf>
          </x14:cfRule>
          <x14:cfRule type="expression" priority="36" id="{341A8E26-5D04-4191-A5B3-3CA494D9C76B}">
            <xm:f>ISBLANK('(3) Variantenbewertung'!$I$11)=TRUE</xm:f>
            <x14:dxf>
              <font>
                <color theme="0" tint="-0.14996795556505021"/>
              </font>
              <fill>
                <patternFill>
                  <bgColor theme="0" tint="-0.14996795556505021"/>
                </patternFill>
              </fill>
              <border>
                <left/>
                <right/>
                <top/>
                <bottom/>
                <vertical/>
                <horizontal/>
              </border>
            </x14:dxf>
          </x14:cfRule>
          <xm:sqref>P28</xm:sqref>
        </x14:conditionalFormatting>
        <x14:conditionalFormatting xmlns:xm="http://schemas.microsoft.com/office/excel/2006/main">
          <x14:cfRule type="expression" priority="181" id="{CFECCF80-B59B-48C1-9739-E33EC06535AF}">
            <xm:f>ISBLANK('(3) Variantenbewertung'!$O$11)=TRUE</xm:f>
            <x14:dxf>
              <font>
                <color theme="0" tint="-0.14996795556505021"/>
              </font>
              <fill>
                <patternFill>
                  <bgColor theme="0" tint="-0.14996795556505021"/>
                </patternFill>
              </fill>
              <border>
                <left/>
                <right/>
                <top/>
                <bottom/>
                <vertical/>
                <horizontal/>
              </border>
            </x14:dxf>
          </x14:cfRule>
          <xm:sqref>P9:Q16 P21:Q28 P33:Q38 P48:Q58</xm:sqref>
        </x14:conditionalFormatting>
        <x14:conditionalFormatting xmlns:xm="http://schemas.microsoft.com/office/excel/2006/main">
          <x14:cfRule type="expression" priority="28" id="{859957DC-EB59-441E-B29F-9F6C7077E6DE}">
            <xm:f>ISBLANK('(3) Variantenbewertung'!$L$11)=TRUE</xm:f>
            <x14:dxf>
              <font>
                <color theme="0" tint="-0.14996795556505021"/>
              </font>
              <fill>
                <patternFill>
                  <bgColor theme="0" tint="-0.14996795556505021"/>
                </patternFill>
              </fill>
              <border>
                <left/>
                <right/>
                <top/>
                <bottom/>
                <vertical/>
                <horizontal/>
              </border>
            </x14:dxf>
          </x14:cfRule>
          <xm:sqref>Q28</xm:sqref>
        </x14:conditionalFormatting>
        <x14:conditionalFormatting xmlns:xm="http://schemas.microsoft.com/office/excel/2006/main">
          <x14:cfRule type="expression" priority="27" id="{46DEC8F2-1A91-4A1B-8AB2-BB88DB98BFA4}">
            <xm:f>ISBLANK('(3) Variantenbewertung'!$I$11)=TRUE</xm:f>
            <x14:dxf>
              <font>
                <color theme="0" tint="-0.14996795556505021"/>
              </font>
              <fill>
                <patternFill>
                  <bgColor theme="0" tint="-0.14996795556505021"/>
                </patternFill>
              </fill>
              <border>
                <left/>
                <right/>
                <top/>
                <bottom/>
                <vertical/>
                <horizontal/>
              </border>
            </x14:dxf>
          </x14:cfRule>
          <x14:cfRule type="expression" priority="26" id="{D08B7872-EE7B-48CF-A8E5-2BFB00E055E6}">
            <xm:f>ISBLANK('(3) Variantenbewertung'!$O$11)=TRUE</xm:f>
            <x14:dxf>
              <font>
                <color theme="0" tint="-0.14996795556505021"/>
              </font>
              <fill>
                <patternFill>
                  <bgColor theme="0" tint="-0.14996795556505021"/>
                </patternFill>
              </fill>
              <border>
                <left/>
                <right/>
                <top/>
                <bottom/>
                <vertical/>
                <horizontal/>
              </border>
            </x14:dxf>
          </x14:cfRule>
          <xm:sqref>S28</xm:sqref>
        </x14:conditionalFormatting>
        <x14:conditionalFormatting xmlns:xm="http://schemas.microsoft.com/office/excel/2006/main">
          <x14:cfRule type="expression" priority="180" id="{8FEB05E3-E731-458B-BC3A-0AACEAFE4AF9}">
            <xm:f>ISBLANK('(3) Variantenbewertung'!$R$11)=TRUE</xm:f>
            <x14:dxf>
              <font>
                <color theme="0" tint="-0.14996795556505021"/>
              </font>
              <fill>
                <patternFill>
                  <bgColor theme="0" tint="-0.14996795556505021"/>
                </patternFill>
              </fill>
              <border>
                <left/>
                <right/>
                <top/>
                <bottom/>
                <vertical/>
                <horizontal/>
              </border>
            </x14:dxf>
          </x14:cfRule>
          <xm:sqref>S9:T16 S21:T28 S33:T38 S48:T58</xm:sqref>
        </x14:conditionalFormatting>
        <x14:conditionalFormatting xmlns:xm="http://schemas.microsoft.com/office/excel/2006/main">
          <x14:cfRule type="expression" priority="19" id="{65DE27BA-0240-4E06-A224-086163117387}">
            <xm:f>ISBLANK('(3) Variantenbewertung'!$L$11)=TRUE</xm:f>
            <x14:dxf>
              <font>
                <color theme="0" tint="-0.14996795556505021"/>
              </font>
              <fill>
                <patternFill>
                  <bgColor theme="0" tint="-0.14996795556505021"/>
                </patternFill>
              </fill>
              <border>
                <left/>
                <right/>
                <top/>
                <bottom/>
                <vertical/>
                <horizontal/>
              </border>
            </x14:dxf>
          </x14:cfRule>
          <xm:sqref>T28</xm:sqref>
        </x14:conditionalFormatting>
        <x14:conditionalFormatting xmlns:xm="http://schemas.microsoft.com/office/excel/2006/main">
          <x14:cfRule type="expression" priority="18" id="{6B6E11AD-15F3-43C7-8032-440DDC8BDB63}">
            <xm:f>ISBLANK('(3) Variantenbewertung'!$I$11)=TRUE</xm:f>
            <x14:dxf>
              <font>
                <color theme="0" tint="-0.14996795556505021"/>
              </font>
              <fill>
                <patternFill>
                  <bgColor theme="0" tint="-0.14996795556505021"/>
                </patternFill>
              </fill>
              <border>
                <left/>
                <right/>
                <top/>
                <bottom/>
                <vertical/>
                <horizontal/>
              </border>
            </x14:dxf>
          </x14:cfRule>
          <x14:cfRule type="expression" priority="17" id="{3D3714AD-633A-46B5-B412-95E3D478008C}">
            <xm:f>ISBLANK('(3) Variantenbewertung'!$O$11)=TRUE</xm:f>
            <x14:dxf>
              <font>
                <color theme="0" tint="-0.14996795556505021"/>
              </font>
              <fill>
                <patternFill>
                  <bgColor theme="0" tint="-0.14996795556505021"/>
                </patternFill>
              </fill>
              <border>
                <left/>
                <right/>
                <top/>
                <bottom/>
                <vertical/>
                <horizontal/>
              </border>
            </x14:dxf>
          </x14:cfRule>
          <xm:sqref>V28</xm:sqref>
        </x14:conditionalFormatting>
        <x14:conditionalFormatting xmlns:xm="http://schemas.microsoft.com/office/excel/2006/main">
          <x14:cfRule type="expression" priority="179" id="{3D114C29-0220-4602-8B68-C408389D135F}">
            <xm:f>ISBLANK('(3) Variantenbewertung'!$U$11)=TRUE</xm:f>
            <x14:dxf>
              <font>
                <color theme="0" tint="-0.14996795556505021"/>
              </font>
              <fill>
                <patternFill>
                  <bgColor theme="0" tint="-0.14996795556505021"/>
                </patternFill>
              </fill>
              <border>
                <left/>
                <right/>
                <top/>
                <bottom/>
                <vertical/>
                <horizontal/>
              </border>
            </x14:dxf>
          </x14:cfRule>
          <xm:sqref>V9:W16 V21:W28 V33:W38 V48:W58</xm:sqref>
        </x14:conditionalFormatting>
        <x14:conditionalFormatting xmlns:xm="http://schemas.microsoft.com/office/excel/2006/main">
          <x14:cfRule type="expression" priority="10" id="{308DB510-16A4-477F-88DF-0B9FE445EB40}">
            <xm:f>ISBLANK('(3) Variantenbewertung'!$L$11)=TRUE</xm:f>
            <x14:dxf>
              <font>
                <color theme="0" tint="-0.14996795556505021"/>
              </font>
              <fill>
                <patternFill>
                  <bgColor theme="0" tint="-0.14996795556505021"/>
                </patternFill>
              </fill>
              <border>
                <left/>
                <right/>
                <top/>
                <bottom/>
                <vertical/>
                <horizontal/>
              </border>
            </x14:dxf>
          </x14:cfRule>
          <xm:sqref>W28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(0) Impressum, Übersicht</vt:lpstr>
      <vt:lpstr>(1) Grundlagen</vt:lpstr>
      <vt:lpstr>(2) Vorauswahl Bautypen</vt:lpstr>
      <vt:lpstr>(3) Variantenbewertung</vt:lpstr>
      <vt:lpstr>(3a) Funktionskriterien</vt:lpstr>
      <vt:lpstr>(3b) Umfeldkriterien</vt:lpstr>
      <vt:lpstr>(4) Kosten-Nutzen-Analyse</vt:lpstr>
      <vt:lpstr>'(3) Variantenbewertung'!Druckbereich</vt:lpstr>
      <vt:lpstr>'(3a) Funktionskriterien'!Druckbereich</vt:lpstr>
    </vt:vector>
  </TitlesOfParts>
  <Company>IEP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Rachelly</dc:creator>
  <cp:lastModifiedBy>Rachelly Cristina</cp:lastModifiedBy>
  <cp:lastPrinted>2022-10-19T15:11:16Z</cp:lastPrinted>
  <dcterms:created xsi:type="dcterms:W3CDTF">2007-01-22T10:00:45Z</dcterms:created>
  <dcterms:modified xsi:type="dcterms:W3CDTF">2024-05-22T12:18:36Z</dcterms:modified>
</cp:coreProperties>
</file>